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5" windowWidth="9645" windowHeight="9075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H70" i="36"/>
  <c r="I70"/>
  <c r="F70"/>
  <c r="G124" i="24" l="1"/>
  <c r="F22" i="29" l="1"/>
  <c r="D33" i="34" l="1"/>
  <c r="J28"/>
  <c r="J29" s="1"/>
  <c r="G25" i="36" l="1"/>
  <c r="G24" l="1"/>
  <c r="D28"/>
  <c r="H59" i="21" l="1"/>
  <c r="M12" i="34" l="1"/>
  <c r="L52" l="1"/>
  <c r="K51"/>
  <c r="C66" i="25"/>
  <c r="G81" i="36"/>
  <c r="A80"/>
  <c r="B81"/>
  <c r="F71" i="24" l="1"/>
  <c r="E32"/>
  <c r="E11" i="29"/>
  <c r="E74" i="24"/>
  <c r="D18" i="21"/>
  <c r="G73"/>
  <c r="I73" s="1"/>
  <c r="G65"/>
  <c r="I65" s="1"/>
  <c r="F38" i="24"/>
  <c r="E33" i="25"/>
  <c r="F34" i="29"/>
  <c r="E38" i="24"/>
  <c r="D80" i="21" s="1"/>
  <c r="F80" s="1"/>
  <c r="D85"/>
  <c r="H18"/>
  <c r="I18" s="1"/>
  <c r="G18"/>
  <c r="H13"/>
  <c r="G13"/>
  <c r="E18"/>
  <c r="E13"/>
  <c r="D13"/>
  <c r="F39" i="29"/>
  <c r="F40" s="1"/>
  <c r="E39"/>
  <c r="E40" s="1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/>
  <c r="D15"/>
  <c r="D16" s="1"/>
  <c r="E32" i="29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K35" s="1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D63"/>
  <c r="D62"/>
  <c r="D67" s="1"/>
  <c r="H27"/>
  <c r="G27"/>
  <c r="F27"/>
  <c r="K27"/>
  <c r="H19"/>
  <c r="I25"/>
  <c r="I24"/>
  <c r="I22"/>
  <c r="I21"/>
  <c r="I20"/>
  <c r="I16"/>
  <c r="I17" s="1"/>
  <c r="H79"/>
  <c r="H41" i="44"/>
  <c r="F23" i="34"/>
  <c r="F24" s="1"/>
  <c r="G23"/>
  <c r="G22" s="1"/>
  <c r="H23"/>
  <c r="I23"/>
  <c r="I24" s="1"/>
  <c r="J23"/>
  <c r="J22"/>
  <c r="K23"/>
  <c r="L23"/>
  <c r="L24" s="1"/>
  <c r="M23"/>
  <c r="M24"/>
  <c r="N23"/>
  <c r="N22"/>
  <c r="O23"/>
  <c r="O22"/>
  <c r="P23"/>
  <c r="P22" s="1"/>
  <c r="E23"/>
  <c r="D26"/>
  <c r="D25"/>
  <c r="F28"/>
  <c r="F29" s="1"/>
  <c r="G28"/>
  <c r="G29" s="1"/>
  <c r="H28"/>
  <c r="H29" s="1"/>
  <c r="I28"/>
  <c r="I29" s="1"/>
  <c r="K28"/>
  <c r="K29" s="1"/>
  <c r="L28"/>
  <c r="L29" s="1"/>
  <c r="M28"/>
  <c r="M29" s="1"/>
  <c r="N28"/>
  <c r="N29" s="1"/>
  <c r="O28"/>
  <c r="O29" s="1"/>
  <c r="P28"/>
  <c r="P29" s="1"/>
  <c r="E28"/>
  <c r="A2"/>
  <c r="B2" i="44"/>
  <c r="B2" i="42"/>
  <c r="D58"/>
  <c r="D59" s="1"/>
  <c r="D68" s="1"/>
  <c r="D54"/>
  <c r="K57"/>
  <c r="J57"/>
  <c r="I57"/>
  <c r="H57"/>
  <c r="G57"/>
  <c r="F57"/>
  <c r="E57"/>
  <c r="D23" i="44"/>
  <c r="A20"/>
  <c r="D25"/>
  <c r="D26" s="1"/>
  <c r="D22"/>
  <c r="A6"/>
  <c r="D9"/>
  <c r="D10" s="1"/>
  <c r="D8"/>
  <c r="P19" i="34"/>
  <c r="O19"/>
  <c r="N19"/>
  <c r="M19"/>
  <c r="L19"/>
  <c r="K19"/>
  <c r="J19"/>
  <c r="I19"/>
  <c r="H19"/>
  <c r="G19"/>
  <c r="F19"/>
  <c r="E19"/>
  <c r="E37" i="25"/>
  <c r="E35" s="1"/>
  <c r="D37"/>
  <c r="D35" s="1"/>
  <c r="D66" i="36"/>
  <c r="F66" s="1"/>
  <c r="D65"/>
  <c r="F65" s="1"/>
  <c r="H72"/>
  <c r="E28"/>
  <c r="E46" s="1"/>
  <c r="B56" i="24"/>
  <c r="B55"/>
  <c r="B39"/>
  <c r="B38"/>
  <c r="F56"/>
  <c r="E56"/>
  <c r="E62" i="21"/>
  <c r="E61" s="1"/>
  <c r="D18" i="25" s="1"/>
  <c r="G66" i="21"/>
  <c r="I66" s="1"/>
  <c r="G64"/>
  <c r="I64" s="1"/>
  <c r="D65"/>
  <c r="F65" s="1"/>
  <c r="D66"/>
  <c r="F66" s="1"/>
  <c r="D67"/>
  <c r="F67" s="1"/>
  <c r="D68"/>
  <c r="F68" s="1"/>
  <c r="D64"/>
  <c r="F64" s="1"/>
  <c r="F11" i="24"/>
  <c r="E11"/>
  <c r="F55"/>
  <c r="G81" i="21" s="1"/>
  <c r="E55" i="24"/>
  <c r="D81" i="21" s="1"/>
  <c r="F81" s="1"/>
  <c r="G72"/>
  <c r="I72" s="1"/>
  <c r="B74"/>
  <c r="G70"/>
  <c r="I70" s="1"/>
  <c r="D71"/>
  <c r="F71" s="1"/>
  <c r="D72"/>
  <c r="F72" s="1"/>
  <c r="D73"/>
  <c r="F73" s="1"/>
  <c r="D74"/>
  <c r="F74" s="1"/>
  <c r="D70"/>
  <c r="F70" s="1"/>
  <c r="E31" i="24"/>
  <c r="F49"/>
  <c r="E49"/>
  <c r="E48" s="1"/>
  <c r="D33" i="25"/>
  <c r="E10" i="24" s="1"/>
  <c r="E22" s="1"/>
  <c r="E29"/>
  <c r="F70"/>
  <c r="F72"/>
  <c r="F74"/>
  <c r="E71"/>
  <c r="E72"/>
  <c r="E73"/>
  <c r="E70"/>
  <c r="F64"/>
  <c r="E64"/>
  <c r="E60" s="1"/>
  <c r="E14"/>
  <c r="E6"/>
  <c r="E7" i="29" s="1"/>
  <c r="F6" i="24"/>
  <c r="F7" i="29"/>
  <c r="K19" i="42"/>
  <c r="J19"/>
  <c r="I19" s="1"/>
  <c r="J27"/>
  <c r="F19"/>
  <c r="G19"/>
  <c r="E19"/>
  <c r="E27"/>
  <c r="D7"/>
  <c r="D9" s="1"/>
  <c r="D6"/>
  <c r="K10"/>
  <c r="J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1"/>
  <c r="E43" s="1"/>
  <c r="F41"/>
  <c r="F43" s="1"/>
  <c r="F44" s="1"/>
  <c r="G41"/>
  <c r="G43" s="1"/>
  <c r="G44" s="1"/>
  <c r="H41"/>
  <c r="H43" s="1"/>
  <c r="H44" s="1"/>
  <c r="I41"/>
  <c r="I43" s="1"/>
  <c r="I44" s="1"/>
  <c r="J41"/>
  <c r="J43" s="1"/>
  <c r="J44" s="1"/>
  <c r="K41"/>
  <c r="K43" s="1"/>
  <c r="K44" s="1"/>
  <c r="L41"/>
  <c r="L43" s="1"/>
  <c r="L44" s="1"/>
  <c r="M41"/>
  <c r="M43" s="1"/>
  <c r="M44" s="1"/>
  <c r="N41"/>
  <c r="N43" s="1"/>
  <c r="N44" s="1"/>
  <c r="O41"/>
  <c r="O43" s="1"/>
  <c r="O44" s="1"/>
  <c r="P41"/>
  <c r="P43" s="1"/>
  <c r="P44" s="1"/>
  <c r="D42"/>
  <c r="D45"/>
  <c r="D46"/>
  <c r="B4" i="29"/>
  <c r="E14"/>
  <c r="E15" s="1"/>
  <c r="E34"/>
  <c r="D52"/>
  <c r="E53"/>
  <c r="B3" i="25"/>
  <c r="D7"/>
  <c r="E7" s="1"/>
  <c r="E12" s="1"/>
  <c r="D51"/>
  <c r="D50" s="1"/>
  <c r="E51"/>
  <c r="D54"/>
  <c r="E54"/>
  <c r="E50" s="1"/>
  <c r="D67"/>
  <c r="B84" i="24"/>
  <c r="B90"/>
  <c r="E96"/>
  <c r="E102"/>
  <c r="F102"/>
  <c r="C138"/>
  <c r="D139"/>
  <c r="B5" i="35"/>
  <c r="F15"/>
  <c r="F13" s="1"/>
  <c r="C29"/>
  <c r="F29"/>
  <c r="G30"/>
  <c r="G31"/>
  <c r="G32"/>
  <c r="G33"/>
  <c r="C34"/>
  <c r="E34" s="1"/>
  <c r="F34"/>
  <c r="G35"/>
  <c r="G36"/>
  <c r="G37"/>
  <c r="G38"/>
  <c r="G39"/>
  <c r="G40"/>
  <c r="G41"/>
  <c r="G42"/>
  <c r="G43"/>
  <c r="A52"/>
  <c r="E52"/>
  <c r="B54"/>
  <c r="F54"/>
  <c r="B2" i="36"/>
  <c r="D7"/>
  <c r="D6" s="1"/>
  <c r="E7"/>
  <c r="E6" s="1"/>
  <c r="D67" s="1"/>
  <c r="G7"/>
  <c r="G6" s="1"/>
  <c r="H7"/>
  <c r="H6" s="1"/>
  <c r="H25"/>
  <c r="H24" s="1"/>
  <c r="H73" s="1"/>
  <c r="D26"/>
  <c r="D44" s="1"/>
  <c r="E26"/>
  <c r="E44" s="1"/>
  <c r="D27"/>
  <c r="D45" s="1"/>
  <c r="E27"/>
  <c r="E45" s="1"/>
  <c r="D29"/>
  <c r="D47" s="1"/>
  <c r="E29"/>
  <c r="E47" s="1"/>
  <c r="D30"/>
  <c r="D48" s="1"/>
  <c r="E30"/>
  <c r="E48" s="1"/>
  <c r="D31"/>
  <c r="D49" s="1"/>
  <c r="E31"/>
  <c r="E49" s="1"/>
  <c r="D32"/>
  <c r="G65" s="1"/>
  <c r="I65" s="1"/>
  <c r="E32"/>
  <c r="E50" s="1"/>
  <c r="D33"/>
  <c r="G66" s="1"/>
  <c r="E33"/>
  <c r="E51" s="1"/>
  <c r="G43"/>
  <c r="G42" s="1"/>
  <c r="H43"/>
  <c r="H42" s="1"/>
  <c r="D68"/>
  <c r="F68" s="1"/>
  <c r="F71"/>
  <c r="H71"/>
  <c r="F72"/>
  <c r="I72"/>
  <c r="F73"/>
  <c r="F74"/>
  <c r="H74"/>
  <c r="D75"/>
  <c r="E75"/>
  <c r="E76" s="1"/>
  <c r="B3" i="21"/>
  <c r="F14"/>
  <c r="I14"/>
  <c r="F15"/>
  <c r="I15"/>
  <c r="F17"/>
  <c r="I17"/>
  <c r="F19"/>
  <c r="I19"/>
  <c r="F20"/>
  <c r="I20"/>
  <c r="F22"/>
  <c r="I22"/>
  <c r="F23"/>
  <c r="I23"/>
  <c r="D24"/>
  <c r="E24"/>
  <c r="G24"/>
  <c r="H24"/>
  <c r="F25"/>
  <c r="I25"/>
  <c r="F26"/>
  <c r="I26"/>
  <c r="E27"/>
  <c r="H27"/>
  <c r="F28"/>
  <c r="I28"/>
  <c r="F29"/>
  <c r="I29"/>
  <c r="F30"/>
  <c r="I30"/>
  <c r="F31"/>
  <c r="I31"/>
  <c r="F32"/>
  <c r="I32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F76"/>
  <c r="F77"/>
  <c r="F78"/>
  <c r="I78"/>
  <c r="F85"/>
  <c r="F27" i="35"/>
  <c r="D61" i="36"/>
  <c r="F48" i="24"/>
  <c r="D30" i="34"/>
  <c r="E22"/>
  <c r="D34" i="42"/>
  <c r="D39"/>
  <c r="D46" i="36"/>
  <c r="I27" i="42"/>
  <c r="I14"/>
  <c r="M22" i="34"/>
  <c r="I22"/>
  <c r="D14" i="42"/>
  <c r="E24" i="34"/>
  <c r="G61" i="36"/>
  <c r="G27" i="35"/>
  <c r="I71" i="36"/>
  <c r="K22" i="34"/>
  <c r="K24"/>
  <c r="H22"/>
  <c r="H24"/>
  <c r="P24"/>
  <c r="E29"/>
  <c r="D8" i="42"/>
  <c r="D10" s="1"/>
  <c r="D4"/>
  <c r="G24" i="34"/>
  <c r="D46" i="42"/>
  <c r="D27"/>
  <c r="D37" i="44"/>
  <c r="D19" i="34"/>
  <c r="J24"/>
  <c r="D28"/>
  <c r="D23"/>
  <c r="D22" s="1"/>
  <c r="N24"/>
  <c r="F94" i="24"/>
  <c r="F57"/>
  <c r="E57"/>
  <c r="F37" i="44" s="1"/>
  <c r="E23" i="29"/>
  <c r="E39" i="24"/>
  <c r="E94" s="1"/>
  <c r="G84" i="21"/>
  <c r="I84" s="1"/>
  <c r="O24" i="34"/>
  <c r="F22"/>
  <c r="E6" i="25"/>
  <c r="E49" s="1"/>
  <c r="A4" i="34"/>
  <c r="G4" s="1"/>
  <c r="D5" i="21"/>
  <c r="H4" i="34"/>
  <c r="A12" i="44"/>
  <c r="A28" s="1"/>
  <c r="D6" i="25"/>
  <c r="D28" s="1"/>
  <c r="K4" i="34"/>
  <c r="B8" i="44"/>
  <c r="B22" s="1"/>
  <c r="N4" i="34"/>
  <c r="E21" i="29"/>
  <c r="G68" i="21"/>
  <c r="I68" s="1"/>
  <c r="G74"/>
  <c r="I74" s="1"/>
  <c r="G5"/>
  <c r="D64" i="36"/>
  <c r="F64" s="1"/>
  <c r="D57" i="42" l="1"/>
  <c r="D84" i="21"/>
  <c r="F84" s="1"/>
  <c r="F93" i="24"/>
  <c r="I23" i="42"/>
  <c r="I34"/>
  <c r="I35"/>
  <c r="E61" i="24"/>
  <c r="E63"/>
  <c r="D19" i="42"/>
  <c r="L22" i="34"/>
  <c r="E93" i="24"/>
  <c r="E37" i="44"/>
  <c r="C28" i="35"/>
  <c r="D24" i="34"/>
  <c r="F18" i="35"/>
  <c r="F21" s="1"/>
  <c r="D50" i="36"/>
  <c r="D49" i="25"/>
  <c r="G34" i="35"/>
  <c r="G29"/>
  <c r="E69" i="24"/>
  <c r="G80" i="21"/>
  <c r="I80" s="1"/>
  <c r="I13"/>
  <c r="E11"/>
  <c r="E12" s="1"/>
  <c r="F24"/>
  <c r="D25" i="36"/>
  <c r="G64" s="1"/>
  <c r="H11" i="21"/>
  <c r="H12" s="1"/>
  <c r="E4" i="34"/>
  <c r="D63" i="21"/>
  <c r="F63" s="1"/>
  <c r="O4" i="34"/>
  <c r="M4"/>
  <c r="D69" i="21"/>
  <c r="F69" s="1"/>
  <c r="D79"/>
  <c r="F79" s="1"/>
  <c r="P4" i="34"/>
  <c r="G35" i="36"/>
  <c r="F13" i="21"/>
  <c r="D51" i="36"/>
  <c r="D43"/>
  <c r="F75"/>
  <c r="D17"/>
  <c r="F28" i="35"/>
  <c r="I24" i="21"/>
  <c r="D15" i="34"/>
  <c r="D9"/>
  <c r="I66" i="36"/>
  <c r="H75"/>
  <c r="F67"/>
  <c r="D69"/>
  <c r="E19" i="24"/>
  <c r="F10"/>
  <c r="E32" i="25"/>
  <c r="E9" i="21"/>
  <c r="G53" i="36"/>
  <c r="E43"/>
  <c r="E42" s="1"/>
  <c r="E11" i="25"/>
  <c r="F9" i="24"/>
  <c r="E24" i="29"/>
  <c r="E42" i="24" s="1"/>
  <c r="E25" i="29" s="1"/>
  <c r="E26" s="1"/>
  <c r="E68" i="24"/>
  <c r="E85"/>
  <c r="D35" i="42"/>
  <c r="D23"/>
  <c r="G28" i="35"/>
  <c r="G15" s="1"/>
  <c r="G18" s="1"/>
  <c r="E28" i="25"/>
  <c r="D41" i="34"/>
  <c r="E25" i="36"/>
  <c r="E24" s="1"/>
  <c r="E29" i="35"/>
  <c r="E28" s="1"/>
  <c r="D32" i="25"/>
  <c r="G71" i="21"/>
  <c r="D12" i="25"/>
  <c r="E47" i="24"/>
  <c r="F4" i="34"/>
  <c r="I4"/>
  <c r="L4"/>
  <c r="J4"/>
  <c r="D83" i="21"/>
  <c r="D82" s="1"/>
  <c r="F82" s="1"/>
  <c r="F18"/>
  <c r="D40" i="34"/>
  <c r="D43"/>
  <c r="E44"/>
  <c r="D44" s="1"/>
  <c r="D29"/>
  <c r="D12"/>
  <c r="I81" i="21"/>
  <c r="G13" i="35" l="1"/>
  <c r="G21" s="1"/>
  <c r="D42" i="36"/>
  <c r="G79" i="21"/>
  <c r="I79" s="1"/>
  <c r="F29" i="24"/>
  <c r="F60"/>
  <c r="F63" s="1"/>
  <c r="I73" i="36"/>
  <c r="E10" i="21"/>
  <c r="E8" s="1"/>
  <c r="D17" i="25"/>
  <c r="D16" s="1"/>
  <c r="E17"/>
  <c r="D62" i="21"/>
  <c r="F62" s="1"/>
  <c r="E91" i="24"/>
  <c r="D11" i="25"/>
  <c r="E9" i="24"/>
  <c r="E21" s="1"/>
  <c r="I71" i="21"/>
  <c r="G69"/>
  <c r="I69" s="1"/>
  <c r="D15" i="25"/>
  <c r="F8" i="24"/>
  <c r="F22"/>
  <c r="F19" s="1"/>
  <c r="H76" i="36"/>
  <c r="D24"/>
  <c r="E106" i="24"/>
  <c r="F69" i="36"/>
  <c r="D76"/>
  <c r="H9" i="21" l="1"/>
  <c r="E15" i="25" s="1"/>
  <c r="G67" i="36"/>
  <c r="I67" s="1"/>
  <c r="D14" i="25"/>
  <c r="D61" i="21"/>
  <c r="F61" s="1"/>
  <c r="F47" i="24"/>
  <c r="D9" i="21"/>
  <c r="F76" i="36"/>
  <c r="F27" i="29"/>
  <c r="I64" i="36"/>
  <c r="E8" i="24"/>
  <c r="F61" l="1"/>
  <c r="E20"/>
  <c r="E17" s="1"/>
  <c r="E18"/>
  <c r="E113"/>
  <c r="F9" i="21"/>
  <c r="E92" i="24"/>
  <c r="E27" i="29"/>
  <c r="E109" i="24" l="1"/>
  <c r="E116" s="1"/>
  <c r="E46"/>
  <c r="E45" s="1"/>
  <c r="E24"/>
  <c r="E43" s="1"/>
  <c r="F24"/>
  <c r="F14" l="1"/>
  <c r="F21"/>
  <c r="E58"/>
  <c r="E20" i="29"/>
  <c r="E40" i="24" l="1"/>
  <c r="E19" i="29"/>
  <c r="E41" i="24" s="1"/>
  <c r="F18"/>
  <c r="F20"/>
  <c r="F17" s="1"/>
  <c r="F46"/>
  <c r="F45" s="1"/>
  <c r="F58" s="1"/>
  <c r="F73" l="1"/>
  <c r="G67" i="21"/>
  <c r="F39" i="24"/>
  <c r="G83" i="21" s="1"/>
  <c r="F32" i="24"/>
  <c r="F11" i="29" l="1"/>
  <c r="F14" s="1"/>
  <c r="F15" s="1"/>
  <c r="F32"/>
  <c r="I83" i="21"/>
  <c r="G82"/>
  <c r="I82" s="1"/>
  <c r="F69" i="24"/>
  <c r="F20" i="29"/>
  <c r="F23"/>
  <c r="F21"/>
  <c r="F31" i="24"/>
  <c r="G63" i="21"/>
  <c r="I67"/>
  <c r="F24" i="29" l="1"/>
  <c r="F43" i="24" s="1"/>
  <c r="F40"/>
  <c r="I63" i="21"/>
  <c r="G85"/>
  <c r="I85" s="1"/>
  <c r="F96" i="24"/>
  <c r="I77" i="21"/>
  <c r="I75"/>
  <c r="H62"/>
  <c r="H61" s="1"/>
  <c r="F85" i="24"/>
  <c r="F68"/>
  <c r="F19" i="29"/>
  <c r="F41" i="24" s="1"/>
  <c r="F42" l="1"/>
  <c r="F91" s="1"/>
  <c r="F109"/>
  <c r="I76" i="21"/>
  <c r="G62"/>
  <c r="E18" i="25"/>
  <c r="E16" s="1"/>
  <c r="E14" s="1"/>
  <c r="H10" i="21"/>
  <c r="H8" s="1"/>
  <c r="F25" i="29" l="1"/>
  <c r="F26" s="1"/>
  <c r="F92" i="24"/>
  <c r="I62" i="21"/>
  <c r="G61"/>
  <c r="I61" l="1"/>
  <c r="F116" i="24"/>
  <c r="D27" i="21" l="1"/>
  <c r="F33"/>
  <c r="D11" l="1"/>
  <c r="F27"/>
  <c r="D12" l="1"/>
  <c r="F12" s="1"/>
  <c r="F11"/>
  <c r="D10"/>
  <c r="E108" i="24"/>
  <c r="F10" i="21" l="1"/>
  <c r="D8"/>
  <c r="E115" i="24"/>
  <c r="E107"/>
  <c r="F8" i="21" l="1"/>
  <c r="E114" i="24"/>
  <c r="E105"/>
  <c r="G27" i="21" l="1"/>
  <c r="I33"/>
  <c r="E112" i="24"/>
  <c r="E111" s="1"/>
  <c r="E110"/>
  <c r="I27" i="21" l="1"/>
  <c r="G11"/>
  <c r="E120" i="24"/>
  <c r="E118"/>
  <c r="E119" s="1"/>
  <c r="E121" l="1"/>
  <c r="E122" s="1"/>
  <c r="E123" s="1"/>
  <c r="G12" i="21"/>
  <c r="I12" s="1"/>
  <c r="I11"/>
  <c r="F108" i="24"/>
  <c r="G10" i="21"/>
  <c r="E124" i="24" l="1"/>
  <c r="D20" i="25" s="1"/>
  <c r="D19" s="1"/>
  <c r="D60"/>
  <c r="E125" i="24"/>
  <c r="D41" i="25" s="1"/>
  <c r="D40" s="1"/>
  <c r="F115" i="24"/>
  <c r="F107"/>
  <c r="I10" i="21"/>
  <c r="J11" s="1"/>
  <c r="D34" i="25" l="1"/>
  <c r="D13"/>
  <c r="D23"/>
  <c r="D24" s="1"/>
  <c r="D44"/>
  <c r="D45" s="1"/>
  <c r="D21"/>
  <c r="D22"/>
  <c r="F114" i="24"/>
  <c r="D43" i="25"/>
  <c r="D42"/>
  <c r="D34" i="36" l="1"/>
  <c r="D52" s="1"/>
  <c r="D53" s="1"/>
  <c r="G17"/>
  <c r="G75"/>
  <c r="I75" s="1"/>
  <c r="I74"/>
  <c r="D61" i="25"/>
  <c r="D35" i="36" l="1"/>
  <c r="A20" s="1"/>
  <c r="G68"/>
  <c r="G69" l="1"/>
  <c r="F106" i="24" s="1"/>
  <c r="A38" i="36"/>
  <c r="I68"/>
  <c r="G76" l="1"/>
  <c r="G9" i="21" s="1"/>
  <c r="F113" i="24" s="1"/>
  <c r="I69" i="36"/>
  <c r="A59" s="1"/>
  <c r="F105" i="24"/>
  <c r="I76" i="36" l="1"/>
  <c r="I9" i="21"/>
  <c r="G8"/>
  <c r="F112" i="24" s="1"/>
  <c r="F111" s="1"/>
  <c r="F110"/>
  <c r="F118" s="1"/>
  <c r="I8" i="21" l="1"/>
  <c r="F120" i="24"/>
  <c r="F119" l="1"/>
  <c r="F121" s="1"/>
  <c r="F122" s="1"/>
  <c r="F123" l="1"/>
  <c r="E60" i="25"/>
  <c r="F125" i="24"/>
  <c r="E41" i="25" s="1"/>
  <c r="F124" i="24"/>
  <c r="E20" i="25" s="1"/>
  <c r="E34" l="1"/>
  <c r="E44"/>
  <c r="E45" s="1"/>
  <c r="E40"/>
  <c r="E19"/>
  <c r="E23"/>
  <c r="E13"/>
  <c r="E24" l="1"/>
  <c r="E61"/>
  <c r="E43"/>
  <c r="E42"/>
  <c r="E22"/>
  <c r="E21"/>
</calcChain>
</file>

<file path=xl/sharedStrings.xml><?xml version="1.0" encoding="utf-8"?>
<sst xmlns="http://schemas.openxmlformats.org/spreadsheetml/2006/main" count="1540" uniqueCount="783">
  <si>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</si>
  <si>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</si>
  <si>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</si>
  <si>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</si>
  <si>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</si>
  <si>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</si>
  <si>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</si>
  <si>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</si>
  <si>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</si>
  <si>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</si>
  <si>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</si>
  <si>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</si>
  <si>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</si>
  <si>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</si>
  <si>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</si>
  <si>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</si>
  <si>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</si>
  <si>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</si>
  <si>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</si>
  <si>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</si>
  <si>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</si>
  <si>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</si>
  <si>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</si>
  <si>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</si>
  <si>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</si>
  <si>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</si>
  <si>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</si>
  <si>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</si>
  <si>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</si>
  <si>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</si>
  <si>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</si>
  <si>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</si>
  <si>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</si>
  <si>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</si>
  <si>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</si>
  <si>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</si>
  <si>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</si>
  <si>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</si>
  <si>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</si>
  <si>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</si>
  <si>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</si>
  <si>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</si>
  <si>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</si>
  <si>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</si>
  <si>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</si>
  <si>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</si>
  <si>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</si>
  <si>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</si>
  <si>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</si>
  <si>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</si>
  <si>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</si>
  <si>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</si>
  <si>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</si>
  <si>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</si>
  <si>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</si>
  <si>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</si>
  <si>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</si>
  <si>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</si>
  <si>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</si>
  <si>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</si>
  <si>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</si>
  <si>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</si>
  <si>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</si>
  <si>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</si>
  <si>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</si>
  <si>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</si>
  <si>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</si>
  <si>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</si>
  <si>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</si>
  <si>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</si>
  <si>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</si>
  <si>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</si>
  <si>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</si>
  <si>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</si>
  <si>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</si>
  <si>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</si>
  <si>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</si>
  <si>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</si>
  <si>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</si>
  <si>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</si>
  <si>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</si>
  <si>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</si>
  <si>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</si>
  <si>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</si>
  <si>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</si>
  <si>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</si>
  <si>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</si>
  <si>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</si>
  <si>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</si>
  <si>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</si>
  <si>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</si>
  <si>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</si>
  <si>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</si>
  <si>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</si>
  <si>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</si>
  <si>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</si>
  <si>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</si>
  <si>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</si>
  <si>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</si>
  <si>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</si>
  <si>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</si>
  <si>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</si>
  <si>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</si>
  <si>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</si>
  <si>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</si>
  <si>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</si>
  <si>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</si>
  <si>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</si>
  <si>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</si>
  <si>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</si>
  <si>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</si>
  <si>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</si>
  <si>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</si>
  <si>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</si>
  <si>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</si>
  <si>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</si>
  <si>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</si>
  <si>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</si>
  <si>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</si>
  <si>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</si>
  <si>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</si>
  <si>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</si>
  <si>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</si>
  <si>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</si>
  <si>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</si>
  <si>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</si>
  <si>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</si>
  <si>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</si>
  <si>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</si>
  <si>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</si>
  <si>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</si>
  <si>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</si>
  <si>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</si>
  <si>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</si>
  <si>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</si>
  <si>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</si>
  <si>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</si>
  <si>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</si>
  <si>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</si>
  <si>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</si>
  <si>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</si>
  <si>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</si>
  <si>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</si>
  <si>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</si>
  <si>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</si>
  <si>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</si>
  <si>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</si>
  <si>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</si>
  <si>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</si>
  <si>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</si>
  <si>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</si>
  <si>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</si>
  <si>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</si>
  <si>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</si>
  <si>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</si>
  <si>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</si>
  <si>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</si>
  <si>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</si>
  <si>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</si>
  <si>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</si>
  <si>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</si>
  <si>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</si>
  <si>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</si>
  <si>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</si>
  <si>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</si>
  <si>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</si>
  <si>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</si>
  <si>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</si>
  <si>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</si>
  <si>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</si>
  <si>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</si>
  <si>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</si>
  <si>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</si>
  <si>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</si>
  <si>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</si>
  <si>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</si>
  <si>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</si>
  <si>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</si>
  <si>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</si>
  <si>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</si>
  <si>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</si>
  <si>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</si>
  <si>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</si>
  <si>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</si>
  <si>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</si>
  <si>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</si>
  <si>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</si>
  <si>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</si>
  <si>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</si>
  <si>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</si>
  <si>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</si>
  <si>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</si>
  <si>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</si>
  <si>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</si>
  <si>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</si>
  <si>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</si>
  <si>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</si>
  <si>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</si>
  <si>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</si>
  <si>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</si>
  <si>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</si>
  <si>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</si>
  <si>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</si>
  <si>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</si>
  <si>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</si>
  <si>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</si>
  <si>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</si>
  <si>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</si>
  <si>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</si>
  <si>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</si>
  <si>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</si>
  <si>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</si>
  <si>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</si>
  <si>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</si>
  <si>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</si>
  <si>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</si>
  <si>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</si>
  <si>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</si>
  <si>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</si>
  <si>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</si>
  <si>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</si>
  <si>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</si>
  <si>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</si>
  <si>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</si>
  <si>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</si>
  <si>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</si>
  <si>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</si>
  <si>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</si>
  <si>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</si>
  <si>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</si>
  <si>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</si>
  <si>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</si>
  <si>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</si>
  <si>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</si>
  <si>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</si>
  <si>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</si>
  <si>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</si>
  <si>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</si>
  <si>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</si>
  <si>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</si>
  <si>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</si>
  <si>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</si>
  <si>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</si>
  <si>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</si>
  <si>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</si>
  <si>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</si>
  <si>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</si>
  <si>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</si>
  <si>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</si>
  <si>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</si>
  <si>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</si>
  <si>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</si>
  <si>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</si>
  <si>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</si>
  <si>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</si>
  <si>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</si>
  <si>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</si>
  <si>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</si>
  <si>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</si>
  <si>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</si>
  <si>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</si>
  <si>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</si>
  <si>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</si>
  <si>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</si>
  <si>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</si>
  <si>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</si>
  <si>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</si>
  <si>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</si>
  <si>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</si>
  <si>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</si>
  <si>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</si>
  <si>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</si>
  <si>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</si>
  <si>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</si>
  <si>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</si>
  <si>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</si>
  <si>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</si>
  <si>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</si>
  <si>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</si>
  <si>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</si>
  <si>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</si>
  <si>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</si>
  <si>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</si>
  <si>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</si>
  <si>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</si>
  <si>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</si>
  <si>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</si>
  <si>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</si>
  <si>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</si>
  <si>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</si>
  <si>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</si>
  <si>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</si>
  <si>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</si>
  <si>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</si>
  <si>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</si>
  <si>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</si>
  <si>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</si>
  <si>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</si>
  <si>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</si>
  <si>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</si>
  <si>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</si>
  <si>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</si>
  <si>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</si>
  <si>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</si>
  <si>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</si>
  <si>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</si>
  <si>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</si>
  <si>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</si>
  <si>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</si>
  <si>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</si>
  <si>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</si>
  <si>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</si>
  <si>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</si>
  <si>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</si>
  <si>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</si>
  <si>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</si>
  <si>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</si>
  <si>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</si>
  <si>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</si>
  <si>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</si>
  <si>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</si>
  <si>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</si>
  <si>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</si>
  <si>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</si>
  <si>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</si>
  <si>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</si>
  <si>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</si>
  <si>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</si>
  <si>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</si>
  <si>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</si>
  <si>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</si>
  <si>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</si>
  <si>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</si>
  <si>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</si>
  <si>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</si>
  <si>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</si>
  <si>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</si>
  <si>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</si>
  <si>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</si>
  <si>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</si>
  <si>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</si>
  <si>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</si>
  <si>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</si>
  <si>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</si>
  <si>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</si>
  <si>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</si>
  <si>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</si>
  <si>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</si>
  <si>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</si>
  <si>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</si>
  <si>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</si>
  <si>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</si>
  <si>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</si>
  <si>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</si>
  <si>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</si>
  <si>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</si>
  <si>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</si>
  <si>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</si>
  <si>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</si>
  <si>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</si>
  <si>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</si>
  <si>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</si>
  <si>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</si>
  <si>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</si>
  <si>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</si>
  <si>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</si>
  <si>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</si>
  <si>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</si>
  <si>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</si>
  <si>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</si>
  <si>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</si>
  <si>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</si>
  <si>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</si>
  <si>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</si>
  <si>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</si>
  <si>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</si>
  <si>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</si>
  <si>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</si>
  <si>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</si>
  <si>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</si>
  <si>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</si>
  <si>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</si>
  <si>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</si>
  <si>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</si>
  <si>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</si>
  <si>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</si>
  <si>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</si>
  <si>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</si>
  <si>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</si>
  <si>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</si>
  <si>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</si>
  <si>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</si>
  <si>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</si>
  <si>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</si>
  <si>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</si>
  <si>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</si>
  <si>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</si>
  <si>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</si>
  <si>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</si>
  <si>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</si>
  <si>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</si>
  <si>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</si>
  <si>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</si>
  <si>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</si>
  <si>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</si>
  <si>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</si>
  <si>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</si>
  <si>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</si>
  <si>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</si>
  <si>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</si>
  <si>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</si>
  <si>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</si>
  <si>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</si>
  <si>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</si>
  <si>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</si>
  <si>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</si>
  <si>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</si>
  <si>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</si>
  <si>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</si>
  <si>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</si>
  <si>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</si>
  <si>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</si>
  <si>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</si>
  <si>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</si>
  <si>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</si>
  <si>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</si>
  <si>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</si>
  <si>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</si>
  <si>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</si>
  <si>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</si>
  <si>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</si>
  <si>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</si>
  <si>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</si>
  <si>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</si>
  <si>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</si>
  <si>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</si>
  <si>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</si>
  <si>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</si>
  <si>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</si>
  <si>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</si>
  <si>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</si>
  <si>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</si>
  <si>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</si>
  <si>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</si>
  <si>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</si>
  <si>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</si>
  <si>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</si>
  <si>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</si>
  <si>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</si>
  <si>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</si>
  <si>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</si>
  <si>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</si>
  <si>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</si>
  <si>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</si>
  <si>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</si>
  <si>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</si>
  <si>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</si>
  <si>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</si>
  <si>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</si>
  <si>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</si>
  <si>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</si>
  <si>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</si>
  <si>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</si>
  <si>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</si>
  <si>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</si>
  <si>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</si>
  <si>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</si>
  <si>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</si>
  <si>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</si>
  <si>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</si>
  <si>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</si>
  <si>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</si>
  <si>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</si>
  <si>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</si>
  <si>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</si>
  <si>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</si>
  <si>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</si>
  <si>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</si>
  <si>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</si>
  <si>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</si>
  <si>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</si>
  <si>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</si>
  <si>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</si>
  <si>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</si>
  <si>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</si>
  <si>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</si>
  <si>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</si>
  <si>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</si>
  <si>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</si>
  <si>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</si>
  <si>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</si>
  <si>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</si>
  <si>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</si>
  <si>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</si>
  <si>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</si>
  <si>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</si>
  <si>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</si>
  <si>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</si>
  <si>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</si>
  <si>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</si>
  <si>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</si>
  <si>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</si>
  <si>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</si>
  <si>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</si>
  <si>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</si>
  <si>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</si>
  <si>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</si>
  <si>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</si>
  <si>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</si>
  <si>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</si>
  <si>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</si>
  <si>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</si>
  <si>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</si>
  <si>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</si>
  <si>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</si>
  <si>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</si>
  <si>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</si>
  <si>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</si>
  <si>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</si>
  <si>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</si>
  <si>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</si>
  <si>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</si>
  <si>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</si>
  <si>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</si>
  <si>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</si>
  <si>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</si>
  <si>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</si>
  <si>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</si>
  <si>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</si>
  <si>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</si>
  <si>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</si>
  <si>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</si>
  <si>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</si>
  <si>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</si>
  <si>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</si>
  <si>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</si>
  <si>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</si>
  <si>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</si>
  <si>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</si>
  <si>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</si>
  <si>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</si>
  <si>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</si>
  <si>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</si>
  <si>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</si>
  <si>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</si>
  <si>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</si>
  <si>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</si>
  <si>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</si>
  <si>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</si>
  <si>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</si>
  <si>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</si>
  <si>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</si>
  <si>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</si>
  <si>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</si>
  <si>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</si>
  <si>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</si>
  <si>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</si>
  <si>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</si>
  <si>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</si>
  <si>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</si>
  <si>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</si>
  <si>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</si>
  <si>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</si>
  <si>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</si>
  <si>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</si>
  <si>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</si>
  <si>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</si>
  <si>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</si>
  <si>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</si>
  <si>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</si>
  <si>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</si>
  <si>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</si>
  <si>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</si>
  <si>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</si>
  <si>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</si>
  <si>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</si>
  <si>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</si>
  <si>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</si>
  <si>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</si>
  <si>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</si>
  <si>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</si>
  <si>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</si>
  <si>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</si>
  <si>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</si>
  <si>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</si>
  <si>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</si>
  <si>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</si>
  <si>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</si>
  <si>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</si>
  <si>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</si>
  <si>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</si>
  <si>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</si>
  <si>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</si>
  <si>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</si>
  <si>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</si>
  <si>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</si>
  <si>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</si>
  <si>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</si>
  <si>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</si>
  <si>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</si>
  <si>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</si>
  <si>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</si>
  <si>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</si>
  <si>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</si>
  <si>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</si>
  <si>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</si>
  <si>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</si>
  <si>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</si>
  <si>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</si>
  <si>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</si>
  <si>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</si>
  <si>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</si>
  <si>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</si>
  <si>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</si>
  <si>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</si>
  <si>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</si>
  <si>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</si>
  <si>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</si>
  <si>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</si>
  <si>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</si>
  <si>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</si>
  <si>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</si>
  <si>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</si>
  <si>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</si>
  <si>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</si>
  <si>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</si>
  <si>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</si>
  <si>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</si>
  <si>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</si>
  <si>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</si>
  <si>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</si>
  <si>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</si>
  <si>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</si>
  <si>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</si>
  <si>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</si>
  <si>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</si>
  <si>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</si>
  <si>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</si>
  <si>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</si>
  <si>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</si>
  <si>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</si>
  <si>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</si>
  <si>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</si>
  <si>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</si>
  <si>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</si>
  <si>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</si>
  <si>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</si>
  <si>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</si>
  <si>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</si>
  <si>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</si>
  <si>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</si>
  <si>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</si>
  <si>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</si>
  <si>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</si>
  <si>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</si>
  <si>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</si>
  <si>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</si>
  <si>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</si>
  <si>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</si>
  <si>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</si>
  <si>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</si>
  <si>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</si>
  <si>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</si>
  <si>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</si>
  <si>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</si>
  <si>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</si>
  <si>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</si>
  <si>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</si>
  <si>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</si>
  <si>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</si>
  <si>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</si>
  <si>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</si>
  <si>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</si>
  <si>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</si>
  <si>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</si>
  <si>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</si>
  <si>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</si>
  <si>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</si>
  <si>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</si>
  <si>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</si>
  <si>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</si>
  <si>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</si>
  <si>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</si>
  <si>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</si>
  <si>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</si>
  <si>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</si>
  <si>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</si>
  <si>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</si>
  <si>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</si>
  <si>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</si>
  <si>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</si>
  <si>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</si>
  <si>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</si>
  <si>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</si>
  <si>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</si>
  <si>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</si>
  <si>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</si>
  <si>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</si>
  <si>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</si>
  <si>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</si>
  <si>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</si>
  <si>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</si>
  <si>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</si>
  <si>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</si>
  <si>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</si>
  <si>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</si>
  <si>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</si>
  <si>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</si>
  <si>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</si>
  <si>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</si>
  <si>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</si>
  <si>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</si>
  <si>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</si>
  <si>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</si>
  <si>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</si>
  <si>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</si>
  <si>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</si>
  <si>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</si>
  <si>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</si>
  <si>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</si>
  <si>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</si>
  <si>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</si>
  <si>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</si>
  <si>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</si>
  <si>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</si>
  <si>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</si>
  <si>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</si>
  <si>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</si>
  <si>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</si>
  <si>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</si>
  <si>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</si>
  <si>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</si>
  <si>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</si>
  <si>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</si>
  <si>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</si>
  <si>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</si>
  <si>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</si>
  <si>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</si>
  <si>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</si>
  <si>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</si>
  <si>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</si>
  <si>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</si>
  <si>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</si>
  <si>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</si>
  <si>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</si>
  <si>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</si>
  <si>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</si>
  <si>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</si>
  <si>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</si>
  <si>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</si>
  <si>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</si>
  <si>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</si>
  <si>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</si>
  <si>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</si>
  <si>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</si>
  <si>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</si>
  <si>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</si>
  <si>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</si>
  <si>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</si>
  <si>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</si>
  <si>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Към 31.12.2018 г.</t>
  </si>
  <si>
    <t>ОТЧЕТ към 31.12.2019 г.</t>
  </si>
  <si>
    <t>Към 31.12.2019 г.</t>
  </si>
  <si>
    <t>Такса   дялово разпределение</t>
  </si>
  <si>
    <t>Други такси за администр.обслужване</t>
  </si>
  <si>
    <t>Др. разходи по норм актове</t>
  </si>
  <si>
    <t xml:space="preserve"> Обучение и квалификация</t>
  </si>
  <si>
    <t>Провизии при пенсиониране</t>
  </si>
  <si>
    <t>"Топлофикация-Русе" ЕАД</t>
  </si>
  <si>
    <t xml:space="preserve">Ръководител ФИД: </t>
  </si>
  <si>
    <t>/ П.Петрова /</t>
  </si>
  <si>
    <t xml:space="preserve"> /С.Желев/</t>
  </si>
  <si>
    <t>ПГ7, ПГ8</t>
  </si>
  <si>
    <t>ТГ5, ТГ6</t>
  </si>
  <si>
    <t>ПГ5, ПГ7</t>
  </si>
  <si>
    <t>ПГ7</t>
  </si>
  <si>
    <t>ТГ5</t>
  </si>
  <si>
    <t>Справка за Привлечен капитал към 31.12.2019 г.</t>
  </si>
  <si>
    <t>ОТЧЕТ към 31.12.2018 г.</t>
  </si>
  <si>
    <t>Ръководител отдел БПР:</t>
  </si>
  <si>
    <t>/ Й.Милева /</t>
  </si>
  <si>
    <t>БКЗ-220-100</t>
  </si>
  <si>
    <t>ПТ-60/90/12/1,2</t>
  </si>
</sst>
</file>

<file path=xl/styles.xml><?xml version="1.0" encoding="utf-8"?>
<styleSheet xmlns="http://schemas.openxmlformats.org/spreadsheetml/2006/main">
  <numFmts count="60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  <numFmt numFmtId="220" formatCode="#,##0.00000"/>
    <numFmt numFmtId="221" formatCode="#,##0.00000000"/>
    <numFmt numFmtId="222" formatCode="0.0"/>
    <numFmt numFmtId="223" formatCode="#,##0.0000"/>
  </numFmts>
  <fonts count="90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5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5" borderId="6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7" xfId="0" applyNumberFormat="1" applyFont="1" applyFill="1" applyBorder="1" applyAlignment="1" applyProtection="1">
      <alignment vertical="center" wrapText="1"/>
      <protection locked="0"/>
    </xf>
    <xf numFmtId="187" fontId="15" fillId="6" borderId="7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8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9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0" xfId="0" applyFont="1" applyBorder="1" applyAlignment="1" applyProtection="1">
      <alignment horizontal="left" vertical="center" wrapText="1"/>
    </xf>
    <xf numFmtId="3" fontId="4" fillId="3" borderId="10" xfId="0" applyNumberFormat="1" applyFont="1" applyFill="1" applyBorder="1" applyAlignment="1" applyProtection="1">
      <alignment horizontal="center" vertical="center"/>
    </xf>
    <xf numFmtId="3" fontId="18" fillId="3" borderId="10" xfId="0" applyNumberFormat="1" applyFont="1" applyFill="1" applyBorder="1" applyAlignment="1" applyProtection="1">
      <alignment horizontal="right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2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4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4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7" xfId="1" applyNumberFormat="1" applyFont="1" applyFill="1" applyBorder="1" applyAlignment="1" applyProtection="1">
      <alignment horizontal="right" vertical="center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6" xfId="0" applyNumberFormat="1" applyFont="1" applyFill="1" applyBorder="1" applyAlignment="1" applyProtection="1">
      <alignment horizontal="center" vertical="center"/>
      <protection hidden="1"/>
    </xf>
    <xf numFmtId="3" fontId="7" fillId="3" borderId="7" xfId="0" applyNumberFormat="1" applyFont="1" applyFill="1" applyBorder="1" applyAlignment="1" applyProtection="1">
      <alignment horizontal="left" vertical="center" wrapText="1"/>
      <protection hidden="1"/>
    </xf>
    <xf numFmtId="3" fontId="7" fillId="3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7" xfId="0" applyNumberFormat="1" applyFont="1" applyBorder="1" applyAlignment="1" applyProtection="1">
      <alignment horizontal="right" vertical="center"/>
      <protection hidden="1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6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7" xfId="0" applyNumberFormat="1" applyFont="1" applyFill="1" applyBorder="1" applyAlignment="1" applyProtection="1">
      <alignment horizontal="left" vertical="center" wrapText="1"/>
      <protection hidden="1"/>
    </xf>
    <xf numFmtId="3" fontId="4" fillId="0" borderId="7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7" xfId="0" applyNumberFormat="1" applyFont="1" applyFill="1" applyBorder="1" applyAlignment="1" applyProtection="1">
      <alignment horizontal="right" vertical="center"/>
      <protection hidden="1"/>
    </xf>
    <xf numFmtId="3" fontId="4" fillId="0" borderId="17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9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8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177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9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77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21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0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Fill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7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39" fillId="0" borderId="19" xfId="0" applyFont="1" applyBorder="1" applyAlignment="1" applyProtection="1">
      <alignment vertical="center"/>
      <protection hidden="1"/>
    </xf>
    <xf numFmtId="165" fontId="12" fillId="0" borderId="19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3" fontId="4" fillId="0" borderId="7" xfId="0" applyNumberFormat="1" applyFont="1" applyFill="1" applyBorder="1" applyAlignment="1" applyProtection="1">
      <alignment vertical="center"/>
      <protection hidden="1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3" fontId="13" fillId="0" borderId="21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2" fillId="0" borderId="21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7" xfId="0" applyNumberFormat="1" applyFont="1" applyBorder="1" applyAlignment="1" applyProtection="1">
      <alignment vertical="center"/>
      <protection hidden="1"/>
    </xf>
    <xf numFmtId="3" fontId="77" fillId="0" borderId="7" xfId="0" applyNumberFormat="1" applyFont="1" applyBorder="1" applyAlignment="1" applyProtection="1">
      <alignment vertical="center"/>
      <protection hidden="1"/>
    </xf>
    <xf numFmtId="3" fontId="4" fillId="3" borderId="7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0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7" xfId="0" applyNumberFormat="1" applyFont="1" applyBorder="1" applyAlignment="1" applyProtection="1">
      <alignment horizontal="center" vertical="center"/>
      <protection hidden="1"/>
    </xf>
    <xf numFmtId="2" fontId="79" fillId="0" borderId="7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7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2" fillId="0" borderId="28" xfId="0" applyNumberFormat="1" applyFont="1" applyFill="1" applyBorder="1" applyAlignment="1" applyProtection="1">
      <alignment vertical="center"/>
      <protection hidden="1"/>
    </xf>
    <xf numFmtId="4" fontId="63" fillId="0" borderId="17" xfId="0" applyNumberFormat="1" applyFont="1" applyBorder="1" applyAlignment="1" applyProtection="1">
      <alignment vertical="center"/>
      <protection hidden="1"/>
    </xf>
    <xf numFmtId="3" fontId="77" fillId="0" borderId="17" xfId="0" applyNumberFormat="1" applyFont="1" applyBorder="1" applyAlignment="1" applyProtection="1">
      <alignment vertical="center"/>
      <protection hidden="1"/>
    </xf>
    <xf numFmtId="3" fontId="4" fillId="3" borderId="17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0" fontId="81" fillId="0" borderId="7" xfId="0" applyFont="1" applyFill="1" applyBorder="1" applyAlignment="1" applyProtection="1">
      <alignment vertical="center"/>
      <protection hidden="1"/>
    </xf>
    <xf numFmtId="0" fontId="15" fillId="0" borderId="7" xfId="0" applyFont="1" applyFill="1" applyBorder="1" applyAlignment="1" applyProtection="1">
      <alignment horizontal="center" vertical="center"/>
      <protection hidden="1"/>
    </xf>
    <xf numFmtId="0" fontId="12" fillId="0" borderId="7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9" xfId="0" applyNumberFormat="1" applyFont="1" applyFill="1" applyBorder="1" applyAlignment="1" applyProtection="1">
      <alignment vertical="center"/>
      <protection hidden="1"/>
    </xf>
    <xf numFmtId="0" fontId="50" fillId="0" borderId="7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2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4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9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7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7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7" xfId="0" applyFont="1" applyFill="1" applyBorder="1" applyAlignment="1" applyProtection="1">
      <alignment horizontal="center" vertical="center"/>
      <protection hidden="1"/>
    </xf>
    <xf numFmtId="193" fontId="4" fillId="5" borderId="17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9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2" xfId="0" applyNumberFormat="1" applyFont="1" applyFill="1" applyBorder="1" applyAlignment="1" applyProtection="1">
      <alignment horizontal="center"/>
      <protection hidden="1"/>
    </xf>
    <xf numFmtId="3" fontId="31" fillId="2" borderId="12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3" fontId="36" fillId="0" borderId="21" xfId="0" applyNumberFormat="1" applyFont="1" applyFill="1" applyBorder="1" applyAlignment="1" applyProtection="1">
      <alignment horizontal="left"/>
      <protection hidden="1"/>
    </xf>
    <xf numFmtId="0" fontId="36" fillId="0" borderId="21" xfId="0" applyFont="1" applyFill="1" applyBorder="1" applyAlignment="1" applyProtection="1">
      <alignment horizontal="right"/>
      <protection hidden="1"/>
    </xf>
    <xf numFmtId="0" fontId="31" fillId="0" borderId="21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8" xfId="0" applyNumberFormat="1" applyFont="1" applyBorder="1" applyAlignment="1" applyProtection="1">
      <alignment horizontal="left"/>
      <protection hidden="1"/>
    </xf>
    <xf numFmtId="3" fontId="34" fillId="3" borderId="8" xfId="0" applyNumberFormat="1" applyFont="1" applyFill="1" applyBorder="1" applyAlignment="1" applyProtection="1">
      <alignment horizontal="center"/>
      <protection hidden="1"/>
    </xf>
    <xf numFmtId="171" fontId="31" fillId="0" borderId="8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4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7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7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9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2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4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4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4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4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0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4" xfId="0" applyFont="1" applyFill="1" applyBorder="1" applyAlignment="1" applyProtection="1">
      <alignment horizontal="left" vertical="center"/>
    </xf>
    <xf numFmtId="3" fontId="15" fillId="0" borderId="14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4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0" xfId="0" applyFont="1" applyFill="1" applyBorder="1" applyAlignment="1" applyProtection="1">
      <alignment horizontal="left" vertical="center"/>
    </xf>
    <xf numFmtId="0" fontId="85" fillId="3" borderId="20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7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7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7" xfId="0" applyFont="1" applyFill="1" applyBorder="1" applyAlignment="1" applyProtection="1">
      <alignment horizontal="center"/>
      <protection hidden="1"/>
    </xf>
    <xf numFmtId="0" fontId="35" fillId="4" borderId="17" xfId="0" applyFont="1" applyFill="1" applyBorder="1" applyAlignment="1" applyProtection="1">
      <alignment horizontal="center"/>
      <protection hidden="1"/>
    </xf>
    <xf numFmtId="175" fontId="4" fillId="0" borderId="19" xfId="0" applyNumberFormat="1" applyFont="1" applyFill="1" applyBorder="1" applyAlignment="1" applyProtection="1">
      <alignment horizontal="center" vertical="center"/>
      <protection hidden="1"/>
    </xf>
    <xf numFmtId="176" fontId="31" fillId="0" borderId="7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7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21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6" fillId="5" borderId="1" xfId="0" applyFont="1" applyFill="1" applyBorder="1"/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7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3" fontId="77" fillId="2" borderId="1" xfId="0" applyNumberFormat="1" applyFont="1" applyFill="1" applyBorder="1" applyAlignment="1" applyProtection="1">
      <alignment horizontal="center" vertical="center"/>
      <protection locked="0"/>
    </xf>
    <xf numFmtId="3" fontId="77" fillId="2" borderId="1" xfId="0" applyNumberFormat="1" applyFont="1" applyFill="1" applyBorder="1" applyAlignment="1" applyProtection="1">
      <alignment horizontal="right" vertical="center"/>
      <protection locked="0"/>
    </xf>
    <xf numFmtId="3" fontId="88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Alignment="1" applyProtection="1">
      <alignment vertical="center"/>
      <protection hidden="1"/>
    </xf>
    <xf numFmtId="0" fontId="77" fillId="0" borderId="0" xfId="0" applyFont="1" applyFill="1" applyAlignment="1" applyProtection="1">
      <alignment vertical="center"/>
      <protection hidden="1"/>
    </xf>
    <xf numFmtId="3" fontId="77" fillId="6" borderId="2" xfId="0" applyNumberFormat="1" applyFont="1" applyFill="1" applyBorder="1" applyAlignment="1" applyProtection="1">
      <alignment vertical="center"/>
      <protection locked="0"/>
    </xf>
    <xf numFmtId="10" fontId="18" fillId="0" borderId="2" xfId="1" applyNumberFormat="1" applyFont="1" applyFill="1" applyBorder="1" applyAlignment="1" applyProtection="1">
      <alignment vertical="center"/>
      <protection hidden="1"/>
    </xf>
    <xf numFmtId="0" fontId="31" fillId="0" borderId="0" xfId="0" applyFont="1" applyFill="1" applyAlignment="1" applyProtection="1">
      <protection hidden="1"/>
    </xf>
    <xf numFmtId="3" fontId="4" fillId="0" borderId="0" xfId="0" applyNumberFormat="1" applyFont="1" applyProtection="1">
      <protection hidden="1"/>
    </xf>
    <xf numFmtId="220" fontId="4" fillId="0" borderId="0" xfId="0" applyNumberFormat="1" applyFont="1" applyFill="1" applyBorder="1" applyAlignment="1" applyProtection="1">
      <alignment horizontal="right" vertical="center"/>
      <protection hidden="1"/>
    </xf>
    <xf numFmtId="221" fontId="4" fillId="0" borderId="0" xfId="0" applyNumberFormat="1" applyFont="1" applyFill="1" applyBorder="1" applyAlignment="1" applyProtection="1">
      <alignment horizontal="right" vertical="center"/>
      <protection hidden="1"/>
    </xf>
    <xf numFmtId="3" fontId="4" fillId="2" borderId="2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222" fontId="0" fillId="0" borderId="0" xfId="0" applyNumberFormat="1" applyProtection="1"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223" fontId="4" fillId="0" borderId="0" xfId="0" applyNumberFormat="1" applyFont="1" applyAlignment="1" applyProtection="1">
      <alignment vertical="center"/>
      <protection hidden="1"/>
    </xf>
    <xf numFmtId="4" fontId="13" fillId="0" borderId="28" xfId="0" applyNumberFormat="1" applyFont="1" applyFill="1" applyBorder="1" applyAlignment="1" applyProtection="1">
      <alignment vertical="center"/>
      <protection hidden="1"/>
    </xf>
    <xf numFmtId="168" fontId="13" fillId="0" borderId="28" xfId="0" applyNumberFormat="1" applyFont="1" applyFill="1" applyBorder="1" applyAlignment="1" applyProtection="1">
      <alignment vertical="center"/>
      <protection hidden="1"/>
    </xf>
    <xf numFmtId="4" fontId="31" fillId="0" borderId="0" xfId="0" applyNumberFormat="1" applyFont="1" applyProtection="1">
      <protection hidden="1"/>
    </xf>
    <xf numFmtId="0" fontId="4" fillId="0" borderId="0" xfId="0" applyFont="1" applyFill="1" applyAlignment="1" applyProtection="1">
      <alignment vertical="center"/>
      <protection hidden="1"/>
    </xf>
    <xf numFmtId="1" fontId="89" fillId="0" borderId="0" xfId="0" applyNumberFormat="1" applyFont="1" applyAlignment="1" applyProtection="1">
      <alignment vertical="center"/>
      <protection hidden="1"/>
    </xf>
    <xf numFmtId="4" fontId="78" fillId="0" borderId="0" xfId="0" applyNumberFormat="1" applyFont="1" applyBorder="1" applyAlignment="1" applyProtection="1">
      <alignment vertical="center"/>
      <protection hidden="1"/>
    </xf>
    <xf numFmtId="2" fontId="79" fillId="0" borderId="2" xfId="0" applyNumberFormat="1" applyFont="1" applyBorder="1" applyAlignment="1" applyProtection="1">
      <alignment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8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9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4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3" fontId="4" fillId="2" borderId="14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0" fontId="12" fillId="0" borderId="8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8" xfId="0" applyNumberFormat="1" applyFont="1" applyFill="1" applyBorder="1" applyAlignment="1" applyProtection="1">
      <alignment horizontal="center" vertical="center" wrapText="1"/>
    </xf>
    <xf numFmtId="210" fontId="4" fillId="0" borderId="8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2" xfId="0" applyNumberFormat="1" applyFont="1" applyBorder="1" applyAlignment="1" applyProtection="1">
      <alignment horizontal="right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8" xfId="0" applyNumberFormat="1" applyFont="1" applyFill="1" applyBorder="1" applyAlignment="1" applyProtection="1">
      <alignment horizontal="center" vertical="center" wrapText="1"/>
    </xf>
    <xf numFmtId="178" fontId="4" fillId="0" borderId="8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8" xfId="0" applyNumberFormat="1" applyFont="1" applyBorder="1" applyAlignment="1" applyProtection="1">
      <alignment horizontal="center" vertical="center" wrapText="1"/>
    </xf>
    <xf numFmtId="211" fontId="4" fillId="0" borderId="8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4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21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80" fontId="4" fillId="0" borderId="19" xfId="0" applyNumberFormat="1" applyFont="1" applyBorder="1" applyAlignment="1" applyProtection="1">
      <alignment horizontal="center" vertical="center" wrapText="1"/>
      <protection hidden="1"/>
    </xf>
    <xf numFmtId="180" fontId="4" fillId="0" borderId="7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4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21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215" fontId="39" fillId="6" borderId="19" xfId="0" applyNumberFormat="1" applyFont="1" applyFill="1" applyBorder="1" applyAlignment="1" applyProtection="1">
      <alignment horizontal="center" vertical="center"/>
      <protection locked="0"/>
    </xf>
    <xf numFmtId="215" fontId="39" fillId="6" borderId="7" xfId="0" applyNumberFormat="1" applyFont="1" applyFill="1" applyBorder="1" applyAlignment="1" applyProtection="1">
      <alignment horizontal="center" vertical="center"/>
      <protection locked="0"/>
    </xf>
    <xf numFmtId="216" fontId="39" fillId="0" borderId="19" xfId="0" applyNumberFormat="1" applyFont="1" applyFill="1" applyBorder="1" applyAlignment="1" applyProtection="1">
      <alignment horizontal="center" vertical="center"/>
      <protection hidden="1"/>
    </xf>
    <xf numFmtId="216" fontId="39" fillId="0" borderId="7" xfId="0" applyNumberFormat="1" applyFont="1" applyFill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0" fontId="11" fillId="0" borderId="7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3" fontId="35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8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8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48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6" xfId="0" applyFont="1" applyBorder="1" applyAlignment="1" applyProtection="1">
      <alignment horizontal="center" vertical="center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0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4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21" xfId="0" applyNumberFormat="1" applyFont="1" applyBorder="1" applyAlignment="1" applyProtection="1">
      <alignment horizontal="center" vertical="center"/>
      <protection hidden="1"/>
    </xf>
    <xf numFmtId="208" fontId="7" fillId="0" borderId="14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21" xfId="0" applyNumberFormat="1" applyFont="1" applyBorder="1" applyAlignment="1" applyProtection="1">
      <alignment horizontal="center" vertical="center"/>
      <protection hidden="1"/>
    </xf>
    <xf numFmtId="166" fontId="4" fillId="5" borderId="12" xfId="0" applyNumberFormat="1" applyFont="1" applyFill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7" xfId="0" applyNumberFormat="1" applyFont="1" applyFill="1" applyBorder="1" applyAlignment="1" applyProtection="1">
      <alignment horizontal="center" vertical="center"/>
      <protection hidden="1"/>
    </xf>
    <xf numFmtId="4" fontId="4" fillId="5" borderId="12" xfId="0" applyNumberFormat="1" applyFont="1" applyFill="1" applyBorder="1" applyAlignment="1" applyProtection="1">
      <alignment horizontal="center" vertical="center"/>
      <protection locked="0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2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7" xfId="0" applyFont="1" applyBorder="1" applyAlignment="1" applyProtection="1">
      <alignment vertical="top" wrapText="1"/>
      <protection hidden="1"/>
    </xf>
    <xf numFmtId="0" fontId="4" fillId="0" borderId="12" xfId="0" applyFont="1" applyBorder="1" applyAlignment="1" applyProtection="1">
      <alignment horizontal="left" vertical="top"/>
      <protection hidden="1"/>
    </xf>
    <xf numFmtId="0" fontId="4" fillId="0" borderId="7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0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2" xfId="0" applyFont="1" applyBorder="1" applyAlignment="1" applyProtection="1">
      <alignment vertical="top" wrapText="1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7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B3" sqref="B3:H3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94" t="s">
        <v>350</v>
      </c>
      <c r="C3" s="694"/>
      <c r="D3" s="694"/>
      <c r="E3" s="694"/>
      <c r="F3" s="694"/>
      <c r="G3" s="694"/>
      <c r="H3" s="694"/>
    </row>
    <row r="4" spans="2:9">
      <c r="B4" s="694" t="s">
        <v>351</v>
      </c>
      <c r="C4" s="694"/>
      <c r="D4" s="694"/>
      <c r="E4" s="694"/>
      <c r="F4" s="694"/>
      <c r="G4" s="694"/>
      <c r="H4" s="694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93" t="s">
        <v>354</v>
      </c>
      <c r="D9" s="693"/>
      <c r="E9" s="693"/>
      <c r="F9" s="693"/>
      <c r="G9" s="693"/>
      <c r="H9" s="693"/>
      <c r="I9" s="693"/>
    </row>
    <row r="10" spans="2:9" ht="39" customHeight="1">
      <c r="B10" s="59">
        <v>4</v>
      </c>
      <c r="C10" s="693" t="s">
        <v>355</v>
      </c>
      <c r="D10" s="693"/>
      <c r="E10" s="693"/>
      <c r="F10" s="693"/>
      <c r="G10" s="693"/>
      <c r="H10" s="693"/>
      <c r="I10" s="693"/>
    </row>
    <row r="11" spans="2:9" ht="28.5" customHeight="1">
      <c r="B11" s="59">
        <v>5</v>
      </c>
      <c r="C11" s="693" t="s">
        <v>356</v>
      </c>
      <c r="D11" s="693"/>
      <c r="E11" s="693"/>
      <c r="F11" s="693"/>
      <c r="G11" s="693"/>
      <c r="H11" s="693"/>
      <c r="I11" s="693"/>
    </row>
    <row r="12" spans="2:9" ht="30" customHeight="1">
      <c r="B12" s="59">
        <v>6</v>
      </c>
      <c r="C12" s="693" t="s">
        <v>357</v>
      </c>
      <c r="D12" s="693"/>
      <c r="E12" s="693"/>
      <c r="F12" s="693"/>
      <c r="G12" s="693"/>
      <c r="H12" s="693"/>
      <c r="I12" s="693"/>
    </row>
    <row r="13" spans="2:9" ht="27" customHeight="1">
      <c r="B13" s="59">
        <v>7</v>
      </c>
      <c r="C13" s="693" t="s">
        <v>358</v>
      </c>
      <c r="D13" s="693"/>
      <c r="E13" s="693"/>
      <c r="F13" s="693"/>
      <c r="G13" s="693"/>
      <c r="H13" s="693"/>
      <c r="I13" s="693"/>
    </row>
    <row r="14" spans="2:9" ht="40.5" customHeight="1">
      <c r="B14" s="59">
        <v>8</v>
      </c>
      <c r="C14" s="693" t="s">
        <v>359</v>
      </c>
      <c r="D14" s="693"/>
      <c r="E14" s="693"/>
      <c r="F14" s="693"/>
      <c r="G14" s="693"/>
      <c r="H14" s="693"/>
      <c r="I14" s="693"/>
    </row>
    <row r="15" spans="2:9" ht="27" customHeight="1">
      <c r="B15" s="59">
        <v>9</v>
      </c>
      <c r="C15" s="693" t="s">
        <v>360</v>
      </c>
      <c r="D15" s="693"/>
      <c r="E15" s="693"/>
      <c r="F15" s="693"/>
      <c r="G15" s="693"/>
      <c r="H15" s="693"/>
      <c r="I15" s="693"/>
    </row>
    <row r="16" spans="2:9">
      <c r="B16" s="59">
        <v>10</v>
      </c>
      <c r="C16" s="693" t="s">
        <v>361</v>
      </c>
      <c r="D16" s="693"/>
      <c r="E16" s="693"/>
      <c r="F16" s="693"/>
      <c r="G16" s="693"/>
      <c r="H16" s="693"/>
      <c r="I16" s="693"/>
    </row>
    <row r="17" spans="2:9" ht="39" customHeight="1">
      <c r="B17" s="59">
        <v>11</v>
      </c>
      <c r="C17" s="693" t="s">
        <v>362</v>
      </c>
      <c r="D17" s="693"/>
      <c r="E17" s="693"/>
      <c r="F17" s="693"/>
      <c r="G17" s="693"/>
      <c r="H17" s="693"/>
      <c r="I17" s="693"/>
    </row>
    <row r="18" spans="2:9" ht="43.5" customHeight="1">
      <c r="B18" s="59">
        <v>12</v>
      </c>
      <c r="C18" s="693" t="s">
        <v>363</v>
      </c>
      <c r="D18" s="693"/>
      <c r="E18" s="693"/>
      <c r="F18" s="693"/>
      <c r="G18" s="693"/>
      <c r="H18" s="693"/>
      <c r="I18" s="693"/>
    </row>
    <row r="19" spans="2:9">
      <c r="B19" s="59">
        <v>13</v>
      </c>
      <c r="C19" s="693" t="s">
        <v>364</v>
      </c>
      <c r="D19" s="693"/>
      <c r="E19" s="693"/>
      <c r="F19" s="693"/>
      <c r="G19" s="693"/>
      <c r="H19" s="693"/>
      <c r="I19" s="693"/>
    </row>
    <row r="20" spans="2:9" ht="28.5" customHeight="1">
      <c r="B20" s="59">
        <v>14</v>
      </c>
      <c r="C20" s="693" t="s">
        <v>365</v>
      </c>
      <c r="D20" s="693"/>
      <c r="E20" s="693"/>
      <c r="F20" s="693"/>
      <c r="G20" s="693"/>
      <c r="H20" s="693"/>
      <c r="I20" s="693"/>
    </row>
    <row r="21" spans="2:9">
      <c r="B21" s="59">
        <v>15</v>
      </c>
      <c r="C21" s="693" t="s">
        <v>366</v>
      </c>
      <c r="D21" s="693"/>
      <c r="E21" s="693"/>
      <c r="F21" s="693"/>
      <c r="G21" s="693"/>
      <c r="H21" s="693"/>
      <c r="I21" s="693"/>
    </row>
    <row r="22" spans="2:9">
      <c r="B22" s="59">
        <v>16</v>
      </c>
      <c r="C22" s="693" t="s">
        <v>367</v>
      </c>
      <c r="D22" s="693"/>
      <c r="E22" s="693"/>
      <c r="F22" s="693"/>
      <c r="G22" s="693"/>
      <c r="H22" s="693"/>
      <c r="I22" s="693"/>
    </row>
    <row r="23" spans="2:9">
      <c r="B23" s="59">
        <v>17</v>
      </c>
      <c r="C23" s="693" t="s">
        <v>368</v>
      </c>
      <c r="D23" s="693"/>
      <c r="E23" s="693"/>
      <c r="F23" s="693"/>
      <c r="G23" s="693"/>
      <c r="H23" s="693"/>
      <c r="I23" s="693"/>
    </row>
    <row r="24" spans="2:9" ht="27.75" customHeight="1">
      <c r="B24" s="59">
        <v>18</v>
      </c>
      <c r="C24" s="693" t="s">
        <v>532</v>
      </c>
      <c r="D24" s="693"/>
      <c r="E24" s="693"/>
      <c r="F24" s="693"/>
      <c r="G24" s="693"/>
      <c r="H24" s="693"/>
      <c r="I24" s="693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activeCell="G110" sqref="G110"/>
      <selection pane="bottomLeft" activeCell="A4" sqref="A4:B5"/>
    </sheetView>
  </sheetViews>
  <sheetFormatPr defaultColWidth="0" defaultRowHeight="12.75" zeroHeight="1"/>
  <cols>
    <col min="1" max="1" width="19.42578125" style="100" customWidth="1"/>
    <col min="2" max="2" width="20.42578125" style="100" customWidth="1"/>
    <col min="3" max="3" width="9.140625" style="103" bestFit="1" customWidth="1"/>
    <col min="4" max="4" width="10.5703125" style="100" customWidth="1"/>
    <col min="5" max="17" width="9.5703125" style="100" customWidth="1"/>
    <col min="18" max="20" width="9.5703125" style="100" hidden="1" customWidth="1"/>
    <col min="21" max="21" width="11.5703125" style="100" hidden="1" customWidth="1"/>
    <col min="22" max="22" width="11.42578125" style="100" hidden="1" customWidth="1"/>
    <col min="23" max="23" width="0" style="100" hidden="1" customWidth="1"/>
    <col min="24" max="16384" width="0" style="100" hidden="1"/>
  </cols>
  <sheetData>
    <row r="1" spans="1:17" ht="12.75" customHeight="1">
      <c r="A1" s="840" t="s">
        <v>600</v>
      </c>
      <c r="B1" s="840"/>
      <c r="C1" s="840"/>
      <c r="K1" s="101"/>
      <c r="L1" s="101"/>
      <c r="M1" s="101"/>
      <c r="N1" s="101"/>
      <c r="O1" s="101"/>
      <c r="P1" s="130" t="s">
        <v>698</v>
      </c>
    </row>
    <row r="2" spans="1:17">
      <c r="A2" s="841" t="str">
        <f>'ТИП-ПРОИЗ'!B3</f>
        <v>"Топлофикация-Русе" ЕАД</v>
      </c>
      <c r="B2" s="841"/>
      <c r="C2" s="841"/>
      <c r="K2" s="101"/>
      <c r="L2" s="101"/>
      <c r="M2" s="101"/>
      <c r="N2" s="101"/>
      <c r="O2" s="101"/>
      <c r="P2" s="101"/>
    </row>
    <row r="3" spans="1:17"/>
    <row r="4" spans="1:17">
      <c r="A4" s="847">
        <f>'ТИП-ПРОИЗ'!F6</f>
        <v>7.202</v>
      </c>
      <c r="B4" s="848"/>
      <c r="C4" s="852" t="s">
        <v>161</v>
      </c>
      <c r="D4" s="104" t="s">
        <v>393</v>
      </c>
      <c r="E4" s="105">
        <f>DATE($A$4,D5,1)</f>
        <v>2739</v>
      </c>
      <c r="F4" s="105">
        <f t="shared" ref="F4:P4" si="0">DATE($A$4,$D$5+E5,1)</f>
        <v>2770</v>
      </c>
      <c r="G4" s="105">
        <f t="shared" si="0"/>
        <v>2801</v>
      </c>
      <c r="H4" s="105">
        <f t="shared" si="0"/>
        <v>2831</v>
      </c>
      <c r="I4" s="105">
        <f t="shared" si="0"/>
        <v>2862</v>
      </c>
      <c r="J4" s="105">
        <f t="shared" si="0"/>
        <v>2892</v>
      </c>
      <c r="K4" s="105">
        <f t="shared" si="0"/>
        <v>2923</v>
      </c>
      <c r="L4" s="105">
        <f t="shared" si="0"/>
        <v>2954</v>
      </c>
      <c r="M4" s="105">
        <f t="shared" si="0"/>
        <v>2983</v>
      </c>
      <c r="N4" s="105">
        <f t="shared" si="0"/>
        <v>3014</v>
      </c>
      <c r="O4" s="105">
        <f t="shared" si="0"/>
        <v>3044</v>
      </c>
      <c r="P4" s="105">
        <f t="shared" si="0"/>
        <v>3075</v>
      </c>
    </row>
    <row r="5" spans="1:17">
      <c r="A5" s="849"/>
      <c r="B5" s="850"/>
      <c r="C5" s="852"/>
      <c r="D5" s="135">
        <v>7</v>
      </c>
      <c r="E5" s="106">
        <v>1</v>
      </c>
      <c r="F5" s="106">
        <v>2</v>
      </c>
      <c r="G5" s="106">
        <v>3</v>
      </c>
      <c r="H5" s="106">
        <v>4</v>
      </c>
      <c r="I5" s="106">
        <v>5</v>
      </c>
      <c r="J5" s="106">
        <v>6</v>
      </c>
      <c r="K5" s="106">
        <v>7</v>
      </c>
      <c r="L5" s="106">
        <v>8</v>
      </c>
      <c r="M5" s="106">
        <v>9</v>
      </c>
      <c r="N5" s="106">
        <v>10</v>
      </c>
      <c r="O5" s="106">
        <v>11</v>
      </c>
      <c r="P5" s="106">
        <v>12</v>
      </c>
    </row>
    <row r="6" spans="1:17" ht="12.75" customHeight="1">
      <c r="A6" s="851" t="s">
        <v>702</v>
      </c>
      <c r="B6" s="533" t="s">
        <v>704</v>
      </c>
      <c r="C6" s="534"/>
      <c r="D6" s="109"/>
      <c r="E6" s="536" t="s">
        <v>775</v>
      </c>
      <c r="F6" s="536" t="s">
        <v>772</v>
      </c>
      <c r="G6" s="536" t="s">
        <v>772</v>
      </c>
      <c r="H6" s="536" t="s">
        <v>772</v>
      </c>
      <c r="I6" s="536" t="s">
        <v>774</v>
      </c>
      <c r="J6" s="536" t="s">
        <v>774</v>
      </c>
      <c r="K6" s="536" t="s">
        <v>774</v>
      </c>
      <c r="L6" s="536" t="s">
        <v>774</v>
      </c>
      <c r="M6" s="536" t="s">
        <v>774</v>
      </c>
      <c r="N6" s="536" t="s">
        <v>774</v>
      </c>
      <c r="O6" s="536" t="s">
        <v>774</v>
      </c>
      <c r="P6" s="536" t="s">
        <v>774</v>
      </c>
    </row>
    <row r="7" spans="1:17" ht="12.75" customHeight="1">
      <c r="A7" s="851"/>
      <c r="B7" s="533" t="s">
        <v>705</v>
      </c>
      <c r="C7" s="534"/>
      <c r="D7" s="109"/>
      <c r="E7" s="536" t="s">
        <v>773</v>
      </c>
      <c r="F7" s="536" t="s">
        <v>776</v>
      </c>
      <c r="G7" s="536" t="s">
        <v>773</v>
      </c>
      <c r="H7" s="536" t="s">
        <v>773</v>
      </c>
      <c r="I7" s="536" t="s">
        <v>773</v>
      </c>
      <c r="J7" s="536" t="s">
        <v>773</v>
      </c>
      <c r="K7" s="536" t="s">
        <v>773</v>
      </c>
      <c r="L7" s="536" t="s">
        <v>773</v>
      </c>
      <c r="M7" s="536" t="s">
        <v>773</v>
      </c>
      <c r="N7" s="536" t="s">
        <v>773</v>
      </c>
      <c r="O7" s="536" t="s">
        <v>773</v>
      </c>
      <c r="P7" s="536" t="s">
        <v>773</v>
      </c>
    </row>
    <row r="8" spans="1:17">
      <c r="A8" s="851"/>
      <c r="B8" s="535" t="s">
        <v>703</v>
      </c>
      <c r="C8" s="535"/>
      <c r="D8" s="109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</row>
    <row r="9" spans="1:17">
      <c r="A9" s="853" t="s">
        <v>546</v>
      </c>
      <c r="B9" s="107" t="s">
        <v>394</v>
      </c>
      <c r="C9" s="108" t="s">
        <v>70</v>
      </c>
      <c r="D9" s="109">
        <f>SUM(E9:P9)</f>
        <v>356512</v>
      </c>
      <c r="E9" s="109">
        <f t="shared" ref="E9:P9" si="1">SUM(E10:E11)</f>
        <v>25855</v>
      </c>
      <c r="F9" s="109">
        <f t="shared" si="1"/>
        <v>24708</v>
      </c>
      <c r="G9" s="109">
        <f t="shared" si="1"/>
        <v>24593</v>
      </c>
      <c r="H9" s="109">
        <f t="shared" si="1"/>
        <v>25072</v>
      </c>
      <c r="I9" s="109">
        <f t="shared" si="1"/>
        <v>28031</v>
      </c>
      <c r="J9" s="109">
        <f t="shared" si="1"/>
        <v>32269</v>
      </c>
      <c r="K9" s="109">
        <f t="shared" si="1"/>
        <v>40965</v>
      </c>
      <c r="L9" s="109">
        <f t="shared" si="1"/>
        <v>44705</v>
      </c>
      <c r="M9" s="109">
        <f t="shared" si="1"/>
        <v>32690</v>
      </c>
      <c r="N9" s="109">
        <f t="shared" si="1"/>
        <v>28801</v>
      </c>
      <c r="O9" s="109">
        <f t="shared" si="1"/>
        <v>23209</v>
      </c>
      <c r="P9" s="109">
        <f t="shared" si="1"/>
        <v>25614</v>
      </c>
    </row>
    <row r="10" spans="1:17">
      <c r="A10" s="854"/>
      <c r="B10" s="107" t="s">
        <v>395</v>
      </c>
      <c r="C10" s="108" t="s">
        <v>70</v>
      </c>
      <c r="D10" s="109">
        <f t="shared" ref="D10:D17" si="2">SUM(E10:P10)</f>
        <v>345379</v>
      </c>
      <c r="E10" s="136">
        <v>25314</v>
      </c>
      <c r="F10" s="136">
        <v>24315</v>
      </c>
      <c r="G10" s="136">
        <v>24085</v>
      </c>
      <c r="H10" s="136">
        <v>24072</v>
      </c>
      <c r="I10" s="136">
        <v>27354</v>
      </c>
      <c r="J10" s="136">
        <v>31673</v>
      </c>
      <c r="K10" s="136">
        <v>38118</v>
      </c>
      <c r="L10" s="136">
        <v>44143</v>
      </c>
      <c r="M10" s="136">
        <v>32127</v>
      </c>
      <c r="N10" s="136">
        <v>28307</v>
      </c>
      <c r="O10" s="136">
        <v>20697</v>
      </c>
      <c r="P10" s="136">
        <v>25174</v>
      </c>
    </row>
    <row r="11" spans="1:17">
      <c r="A11" s="855"/>
      <c r="B11" s="107" t="s">
        <v>396</v>
      </c>
      <c r="C11" s="108" t="s">
        <v>70</v>
      </c>
      <c r="D11" s="109">
        <f t="shared" si="2"/>
        <v>11133</v>
      </c>
      <c r="E11" s="136">
        <v>541</v>
      </c>
      <c r="F11" s="136">
        <v>393</v>
      </c>
      <c r="G11" s="136">
        <v>508</v>
      </c>
      <c r="H11" s="136">
        <v>1000</v>
      </c>
      <c r="I11" s="136">
        <v>677</v>
      </c>
      <c r="J11" s="136">
        <v>596</v>
      </c>
      <c r="K11" s="136">
        <v>2847</v>
      </c>
      <c r="L11" s="136">
        <v>562</v>
      </c>
      <c r="M11" s="136">
        <v>563</v>
      </c>
      <c r="N11" s="136">
        <v>494</v>
      </c>
      <c r="O11" s="136">
        <v>2512</v>
      </c>
      <c r="P11" s="136">
        <v>440</v>
      </c>
    </row>
    <row r="12" spans="1:17">
      <c r="A12" s="842" t="s">
        <v>750</v>
      </c>
      <c r="B12" s="107" t="s">
        <v>394</v>
      </c>
      <c r="C12" s="108" t="s">
        <v>70</v>
      </c>
      <c r="D12" s="109">
        <f t="shared" si="2"/>
        <v>554123.63199999998</v>
      </c>
      <c r="E12" s="109">
        <f t="shared" ref="E12:P12" si="3">SUM(E13:E14)</f>
        <v>41391</v>
      </c>
      <c r="F12" s="109">
        <f t="shared" si="3"/>
        <v>41215</v>
      </c>
      <c r="G12" s="109">
        <f t="shared" si="3"/>
        <v>40864.042000000001</v>
      </c>
      <c r="H12" s="109">
        <f t="shared" si="3"/>
        <v>40990</v>
      </c>
      <c r="I12" s="109">
        <f t="shared" si="3"/>
        <v>43516</v>
      </c>
      <c r="J12" s="109">
        <f t="shared" si="3"/>
        <v>50057</v>
      </c>
      <c r="K12" s="109">
        <f t="shared" si="3"/>
        <v>59778.561000000002</v>
      </c>
      <c r="L12" s="109">
        <f t="shared" si="3"/>
        <v>66492.100000000006</v>
      </c>
      <c r="M12" s="109">
        <f>SUM(M13:M14)</f>
        <v>48922.269</v>
      </c>
      <c r="N12" s="109">
        <f t="shared" si="3"/>
        <v>44163</v>
      </c>
      <c r="O12" s="109">
        <f t="shared" si="3"/>
        <v>36095.94</v>
      </c>
      <c r="P12" s="109">
        <f t="shared" si="3"/>
        <v>40638.720000000001</v>
      </c>
      <c r="Q12" s="675"/>
    </row>
    <row r="13" spans="1:17">
      <c r="A13" s="843"/>
      <c r="B13" s="107" t="s">
        <v>395</v>
      </c>
      <c r="C13" s="108" t="s">
        <v>70</v>
      </c>
      <c r="D13" s="109">
        <f t="shared" si="2"/>
        <v>536041</v>
      </c>
      <c r="E13" s="136">
        <v>40491</v>
      </c>
      <c r="F13" s="136">
        <v>40561</v>
      </c>
      <c r="G13" s="136">
        <v>40020</v>
      </c>
      <c r="H13" s="136">
        <v>39340</v>
      </c>
      <c r="I13" s="136">
        <v>42390</v>
      </c>
      <c r="J13" s="136">
        <v>49066</v>
      </c>
      <c r="K13" s="136">
        <v>55044</v>
      </c>
      <c r="L13" s="136">
        <v>65621</v>
      </c>
      <c r="M13" s="136">
        <v>47986</v>
      </c>
      <c r="N13" s="136">
        <v>43298</v>
      </c>
      <c r="O13" s="136">
        <v>32306</v>
      </c>
      <c r="P13" s="136">
        <v>39918</v>
      </c>
    </row>
    <row r="14" spans="1:17">
      <c r="A14" s="844"/>
      <c r="B14" s="107" t="s">
        <v>396</v>
      </c>
      <c r="C14" s="108" t="s">
        <v>70</v>
      </c>
      <c r="D14" s="109">
        <f t="shared" si="2"/>
        <v>18082.632000000001</v>
      </c>
      <c r="E14" s="136">
        <v>900</v>
      </c>
      <c r="F14" s="136">
        <v>654</v>
      </c>
      <c r="G14" s="136">
        <v>844.04199999999992</v>
      </c>
      <c r="H14" s="136">
        <v>1650</v>
      </c>
      <c r="I14" s="136">
        <v>1126</v>
      </c>
      <c r="J14" s="136">
        <v>991</v>
      </c>
      <c r="K14" s="136">
        <v>4734.5609999999997</v>
      </c>
      <c r="L14" s="136">
        <v>871.1</v>
      </c>
      <c r="M14" s="136">
        <v>936.26900000000001</v>
      </c>
      <c r="N14" s="136">
        <v>865</v>
      </c>
      <c r="O14" s="136">
        <v>3789.94</v>
      </c>
      <c r="P14" s="136">
        <v>720.72</v>
      </c>
    </row>
    <row r="15" spans="1:17">
      <c r="A15" s="842" t="s">
        <v>751</v>
      </c>
      <c r="B15" s="107" t="s">
        <v>394</v>
      </c>
      <c r="C15" s="108" t="s">
        <v>70</v>
      </c>
      <c r="D15" s="109">
        <f t="shared" si="2"/>
        <v>649594.70684958948</v>
      </c>
      <c r="E15" s="109">
        <f t="shared" ref="E15:P15" si="4">SUM(E16:E17)</f>
        <v>48743.915920648338</v>
      </c>
      <c r="F15" s="109">
        <f t="shared" si="4"/>
        <v>47770.717768210714</v>
      </c>
      <c r="G15" s="109">
        <f t="shared" si="4"/>
        <v>46797.845583714807</v>
      </c>
      <c r="H15" s="109">
        <f t="shared" si="4"/>
        <v>49167.613704722506</v>
      </c>
      <c r="I15" s="109">
        <f t="shared" si="4"/>
        <v>51314.88312355888</v>
      </c>
      <c r="J15" s="109">
        <f t="shared" si="4"/>
        <v>57853.790428554916</v>
      </c>
      <c r="K15" s="109">
        <f t="shared" si="4"/>
        <v>72598.447405585641</v>
      </c>
      <c r="L15" s="109">
        <f t="shared" si="4"/>
        <v>75366.445000000007</v>
      </c>
      <c r="M15" s="109">
        <f t="shared" si="4"/>
        <v>55946.74</v>
      </c>
      <c r="N15" s="109">
        <f t="shared" si="4"/>
        <v>50531.345999999998</v>
      </c>
      <c r="O15" s="109">
        <f t="shared" si="4"/>
        <v>48103.45</v>
      </c>
      <c r="P15" s="109">
        <f t="shared" si="4"/>
        <v>45399.511914593757</v>
      </c>
    </row>
    <row r="16" spans="1:17">
      <c r="A16" s="843"/>
      <c r="B16" s="107" t="s">
        <v>395</v>
      </c>
      <c r="C16" s="108" t="s">
        <v>70</v>
      </c>
      <c r="D16" s="109">
        <f t="shared" si="2"/>
        <v>595005.8970491885</v>
      </c>
      <c r="E16" s="136">
        <v>45006.955478616648</v>
      </c>
      <c r="F16" s="136">
        <v>45809.014732557902</v>
      </c>
      <c r="G16" s="136">
        <v>44081.277566155404</v>
      </c>
      <c r="H16" s="136">
        <v>44033.278320116398</v>
      </c>
      <c r="I16" s="136">
        <v>47592.940856283276</v>
      </c>
      <c r="J16" s="136">
        <v>54743.201968210386</v>
      </c>
      <c r="K16" s="136">
        <v>59977.094127248594</v>
      </c>
      <c r="L16" s="136">
        <v>72517.240000000005</v>
      </c>
      <c r="M16" s="136">
        <v>52995.464</v>
      </c>
      <c r="N16" s="136">
        <v>48223.906999999999</v>
      </c>
      <c r="O16" s="136">
        <v>36868.521999999997</v>
      </c>
      <c r="P16" s="136">
        <v>43157.000999999997</v>
      </c>
    </row>
    <row r="17" spans="1:16">
      <c r="A17" s="844"/>
      <c r="B17" s="107" t="s">
        <v>396</v>
      </c>
      <c r="C17" s="108" t="s">
        <v>70</v>
      </c>
      <c r="D17" s="109">
        <f t="shared" si="2"/>
        <v>54588.809800400937</v>
      </c>
      <c r="E17" s="136">
        <v>3736.9604420316869</v>
      </c>
      <c r="F17" s="136">
        <v>1961.7030356528085</v>
      </c>
      <c r="G17" s="136">
        <v>2716.5680175593998</v>
      </c>
      <c r="H17" s="136">
        <v>5134.3353846061054</v>
      </c>
      <c r="I17" s="136">
        <v>3721.9422672756014</v>
      </c>
      <c r="J17" s="136">
        <v>3110.5884603445329</v>
      </c>
      <c r="K17" s="136">
        <v>12621.353278337047</v>
      </c>
      <c r="L17" s="136">
        <v>2849.2049999999999</v>
      </c>
      <c r="M17" s="136">
        <v>2951.2759999999998</v>
      </c>
      <c r="N17" s="136">
        <v>2307.4389999999999</v>
      </c>
      <c r="O17" s="136">
        <v>11234.928</v>
      </c>
      <c r="P17" s="136">
        <v>2242.5109145937581</v>
      </c>
    </row>
    <row r="18" spans="1:16">
      <c r="A18" s="111"/>
      <c r="B18" s="112"/>
      <c r="C18" s="113"/>
      <c r="D18" s="114"/>
      <c r="E18" s="114"/>
      <c r="F18" s="114"/>
      <c r="G18" s="677"/>
      <c r="H18" s="676"/>
      <c r="I18" s="114"/>
      <c r="J18" s="114"/>
      <c r="K18" s="114"/>
      <c r="L18" s="114"/>
      <c r="M18" s="114"/>
      <c r="N18" s="114"/>
      <c r="O18" s="114"/>
      <c r="P18" s="114"/>
    </row>
    <row r="19" spans="1:16">
      <c r="A19" s="107" t="s">
        <v>547</v>
      </c>
      <c r="B19" s="107" t="s">
        <v>394</v>
      </c>
      <c r="C19" s="108" t="s">
        <v>70</v>
      </c>
      <c r="D19" s="109">
        <f>SUM(E19:P19)</f>
        <v>0</v>
      </c>
      <c r="E19" s="109">
        <f t="shared" ref="E19:P19" si="5">SUM(E20:E21)</f>
        <v>0</v>
      </c>
      <c r="F19" s="109">
        <f t="shared" si="5"/>
        <v>0</v>
      </c>
      <c r="G19" s="109">
        <f t="shared" si="5"/>
        <v>0</v>
      </c>
      <c r="H19" s="109">
        <f t="shared" si="5"/>
        <v>0</v>
      </c>
      <c r="I19" s="109">
        <f t="shared" si="5"/>
        <v>0</v>
      </c>
      <c r="J19" s="109">
        <f t="shared" si="5"/>
        <v>0</v>
      </c>
      <c r="K19" s="109">
        <f t="shared" si="5"/>
        <v>0</v>
      </c>
      <c r="L19" s="109">
        <f t="shared" si="5"/>
        <v>0</v>
      </c>
      <c r="M19" s="109">
        <f t="shared" si="5"/>
        <v>0</v>
      </c>
      <c r="N19" s="109">
        <f t="shared" si="5"/>
        <v>0</v>
      </c>
      <c r="O19" s="109">
        <f t="shared" si="5"/>
        <v>0</v>
      </c>
      <c r="P19" s="109">
        <f t="shared" si="5"/>
        <v>0</v>
      </c>
    </row>
    <row r="20" spans="1:16">
      <c r="A20" s="115" t="s">
        <v>398</v>
      </c>
      <c r="B20" s="107" t="s">
        <v>395</v>
      </c>
      <c r="C20" s="108" t="s">
        <v>70</v>
      </c>
      <c r="D20" s="109">
        <f>SUM(E20:P20)</f>
        <v>0</v>
      </c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</row>
    <row r="21" spans="1:16">
      <c r="A21" s="110" t="s">
        <v>399</v>
      </c>
      <c r="B21" s="107" t="s">
        <v>396</v>
      </c>
      <c r="C21" s="108" t="s">
        <v>70</v>
      </c>
      <c r="D21" s="109">
        <f>SUM(E21:P21)</f>
        <v>0</v>
      </c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6">
      <c r="A22" s="107" t="s">
        <v>243</v>
      </c>
      <c r="B22" s="107" t="s">
        <v>676</v>
      </c>
      <c r="C22" s="104" t="s">
        <v>7</v>
      </c>
      <c r="D22" s="499">
        <f t="shared" ref="D22:P22" si="6">IF(D23=0,0,D19/D23)</f>
        <v>0</v>
      </c>
      <c r="E22" s="499">
        <f t="shared" si="6"/>
        <v>0</v>
      </c>
      <c r="F22" s="499">
        <f t="shared" si="6"/>
        <v>0</v>
      </c>
      <c r="G22" s="499">
        <f t="shared" si="6"/>
        <v>0</v>
      </c>
      <c r="H22" s="499">
        <f t="shared" si="6"/>
        <v>0</v>
      </c>
      <c r="I22" s="499">
        <f t="shared" si="6"/>
        <v>0</v>
      </c>
      <c r="J22" s="499">
        <f t="shared" si="6"/>
        <v>0</v>
      </c>
      <c r="K22" s="499">
        <f t="shared" si="6"/>
        <v>0</v>
      </c>
      <c r="L22" s="499">
        <f t="shared" si="6"/>
        <v>0</v>
      </c>
      <c r="M22" s="499">
        <f t="shared" si="6"/>
        <v>0</v>
      </c>
      <c r="N22" s="499">
        <f t="shared" si="6"/>
        <v>0</v>
      </c>
      <c r="O22" s="499">
        <f t="shared" si="6"/>
        <v>0</v>
      </c>
      <c r="P22" s="499">
        <f t="shared" si="6"/>
        <v>0</v>
      </c>
    </row>
    <row r="23" spans="1:16">
      <c r="A23" s="845" t="s">
        <v>548</v>
      </c>
      <c r="B23" s="116" t="s">
        <v>669</v>
      </c>
      <c r="C23" s="108" t="s">
        <v>70</v>
      </c>
      <c r="D23" s="109">
        <f>SUM(E23:P23)</f>
        <v>0</v>
      </c>
      <c r="E23" s="117">
        <f>SUMPRODUCT($B$25:$B$26,E25:E26)/860</f>
        <v>0</v>
      </c>
      <c r="F23" s="117">
        <f t="shared" ref="F23:P23" si="7">SUMPRODUCT($B$25:$B$26,F25:F26)/860</f>
        <v>0</v>
      </c>
      <c r="G23" s="117">
        <f t="shared" si="7"/>
        <v>0</v>
      </c>
      <c r="H23" s="117">
        <f t="shared" si="7"/>
        <v>0</v>
      </c>
      <c r="I23" s="117">
        <f t="shared" si="7"/>
        <v>0</v>
      </c>
      <c r="J23" s="117">
        <f t="shared" si="7"/>
        <v>0</v>
      </c>
      <c r="K23" s="117">
        <f t="shared" si="7"/>
        <v>0</v>
      </c>
      <c r="L23" s="117">
        <f t="shared" si="7"/>
        <v>0</v>
      </c>
      <c r="M23" s="117">
        <f t="shared" si="7"/>
        <v>0</v>
      </c>
      <c r="N23" s="117">
        <f t="shared" si="7"/>
        <v>0</v>
      </c>
      <c r="O23" s="117">
        <f t="shared" si="7"/>
        <v>0</v>
      </c>
      <c r="P23" s="117">
        <f t="shared" si="7"/>
        <v>0</v>
      </c>
    </row>
    <row r="24" spans="1:16" ht="14.25">
      <c r="A24" s="846"/>
      <c r="B24" s="116" t="s">
        <v>401</v>
      </c>
      <c r="C24" s="104" t="s">
        <v>400</v>
      </c>
      <c r="D24" s="109">
        <f>SUM(E24:P24)</f>
        <v>0</v>
      </c>
      <c r="E24" s="118">
        <f t="shared" ref="E24:P24" si="8">E23*0.86/7</f>
        <v>0</v>
      </c>
      <c r="F24" s="118">
        <f t="shared" si="8"/>
        <v>0</v>
      </c>
      <c r="G24" s="118">
        <f t="shared" si="8"/>
        <v>0</v>
      </c>
      <c r="H24" s="118">
        <f t="shared" si="8"/>
        <v>0</v>
      </c>
      <c r="I24" s="118">
        <f t="shared" si="8"/>
        <v>0</v>
      </c>
      <c r="J24" s="118">
        <f t="shared" si="8"/>
        <v>0</v>
      </c>
      <c r="K24" s="118">
        <f t="shared" si="8"/>
        <v>0</v>
      </c>
      <c r="L24" s="118">
        <f t="shared" si="8"/>
        <v>0</v>
      </c>
      <c r="M24" s="118">
        <f t="shared" si="8"/>
        <v>0</v>
      </c>
      <c r="N24" s="118">
        <f t="shared" si="8"/>
        <v>0</v>
      </c>
      <c r="O24" s="118">
        <f t="shared" si="8"/>
        <v>0</v>
      </c>
      <c r="P24" s="118">
        <f t="shared" si="8"/>
        <v>0</v>
      </c>
    </row>
    <row r="25" spans="1:16" ht="15.75">
      <c r="A25" s="115" t="s">
        <v>549</v>
      </c>
      <c r="B25" s="655">
        <v>8000</v>
      </c>
      <c r="C25" s="656" t="s">
        <v>372</v>
      </c>
      <c r="D25" s="109">
        <f>SUM(E25:P25)</f>
        <v>0</v>
      </c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</row>
    <row r="26" spans="1:16" ht="15.75">
      <c r="A26" s="110" t="s">
        <v>550</v>
      </c>
      <c r="B26" s="655">
        <v>8000</v>
      </c>
      <c r="C26" s="656" t="s">
        <v>372</v>
      </c>
      <c r="D26" s="109">
        <f>SUM(E26:P26)</f>
        <v>0</v>
      </c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</row>
    <row r="27" spans="1:16" s="119" customFormat="1" ht="11.25" customHeight="1">
      <c r="K27" s="683"/>
    </row>
    <row r="28" spans="1:16">
      <c r="A28" s="120" t="s">
        <v>668</v>
      </c>
      <c r="B28" s="116" t="s">
        <v>669</v>
      </c>
      <c r="C28" s="108" t="s">
        <v>70</v>
      </c>
      <c r="D28" s="109">
        <f t="shared" ref="D28:D34" si="9">SUM(E28:P28)</f>
        <v>1172604.2504446383</v>
      </c>
      <c r="E28" s="117">
        <f>SUMPRODUCT($A$30:$A$34,E30:E34)/860</f>
        <v>92506.481610465125</v>
      </c>
      <c r="F28" s="117">
        <f t="shared" ref="F28:P28" si="10">SUMPRODUCT($A$30:$A$34,F30:F34)/860</f>
        <v>92641.884026744185</v>
      </c>
      <c r="G28" s="117">
        <f t="shared" si="10"/>
        <v>89411.836604651166</v>
      </c>
      <c r="H28" s="117">
        <f t="shared" si="10"/>
        <v>91975.078767441853</v>
      </c>
      <c r="I28" s="117">
        <f t="shared" si="10"/>
        <v>90428.992669896645</v>
      </c>
      <c r="J28" s="117">
        <f>SUMPRODUCT($A$30:$A$34,J30:J34)/860</f>
        <v>102281.39534883721</v>
      </c>
      <c r="K28" s="477">
        <f t="shared" si="10"/>
        <v>123356.97893023255</v>
      </c>
      <c r="L28" s="477">
        <f t="shared" si="10"/>
        <v>125051.90697674418</v>
      </c>
      <c r="M28" s="117">
        <f t="shared" si="10"/>
        <v>97444.870422093009</v>
      </c>
      <c r="N28" s="117">
        <f t="shared" si="10"/>
        <v>92748.837209302321</v>
      </c>
      <c r="O28" s="117">
        <f t="shared" si="10"/>
        <v>90704.377730232562</v>
      </c>
      <c r="P28" s="117">
        <f t="shared" si="10"/>
        <v>84051.610147997446</v>
      </c>
    </row>
    <row r="29" spans="1:16" ht="14.25">
      <c r="A29" s="121"/>
      <c r="B29" s="116" t="s">
        <v>401</v>
      </c>
      <c r="C29" s="104" t="s">
        <v>400</v>
      </c>
      <c r="D29" s="109">
        <f t="shared" si="9"/>
        <v>144062.80791176984</v>
      </c>
      <c r="E29" s="118">
        <f t="shared" ref="E29:P29" si="11">E28*0.86/7</f>
        <v>11365.082026428572</v>
      </c>
      <c r="F29" s="118">
        <f t="shared" si="11"/>
        <v>11381.717180428572</v>
      </c>
      <c r="G29" s="118">
        <f t="shared" si="11"/>
        <v>10984.882782857143</v>
      </c>
      <c r="H29" s="118">
        <f t="shared" si="11"/>
        <v>11299.795391428572</v>
      </c>
      <c r="I29" s="118">
        <f t="shared" si="11"/>
        <v>11109.847670873016</v>
      </c>
      <c r="J29" s="118">
        <f>J28*0.86/7</f>
        <v>12566</v>
      </c>
      <c r="K29" s="118">
        <f t="shared" si="11"/>
        <v>15155.285982857142</v>
      </c>
      <c r="L29" s="118">
        <f t="shared" si="11"/>
        <v>15363.52</v>
      </c>
      <c r="M29" s="118">
        <f t="shared" si="11"/>
        <v>11971.798366142855</v>
      </c>
      <c r="N29" s="118">
        <f t="shared" si="11"/>
        <v>11394.857142857143</v>
      </c>
      <c r="O29" s="118">
        <f t="shared" si="11"/>
        <v>11143.68069257143</v>
      </c>
      <c r="P29" s="118">
        <f t="shared" si="11"/>
        <v>10326.3406753254</v>
      </c>
    </row>
    <row r="30" spans="1:16" ht="15.75">
      <c r="A30" s="137">
        <v>8000</v>
      </c>
      <c r="B30" s="116" t="s">
        <v>9</v>
      </c>
      <c r="C30" s="104" t="s">
        <v>372</v>
      </c>
      <c r="D30" s="109">
        <f t="shared" si="9"/>
        <v>20693.362696999997</v>
      </c>
      <c r="E30" s="136">
        <v>109.915633125</v>
      </c>
      <c r="F30" s="136">
        <v>48.589192875000002</v>
      </c>
      <c r="G30" s="136">
        <v>57.517000000000003</v>
      </c>
      <c r="H30" s="136">
        <v>84.868417499999993</v>
      </c>
      <c r="I30" s="136">
        <v>96.226370625000001</v>
      </c>
      <c r="J30" s="136">
        <v>7879</v>
      </c>
      <c r="K30" s="136">
        <v>6090.59</v>
      </c>
      <c r="L30" s="136">
        <v>6161.33</v>
      </c>
      <c r="M30" s="136">
        <v>26.089482875000002</v>
      </c>
      <c r="N30" s="136">
        <v>0</v>
      </c>
      <c r="O30" s="136">
        <v>47.970605999999997</v>
      </c>
      <c r="P30" s="136">
        <v>91.265994000000006</v>
      </c>
    </row>
    <row r="31" spans="1:16">
      <c r="A31" s="72">
        <v>9500</v>
      </c>
      <c r="B31" s="116" t="s">
        <v>10</v>
      </c>
      <c r="C31" s="104" t="s">
        <v>23</v>
      </c>
      <c r="D31" s="109">
        <f t="shared" si="9"/>
        <v>101.94705590643275</v>
      </c>
      <c r="E31" s="136">
        <v>35.184117894736843</v>
      </c>
      <c r="F31" s="136">
        <v>4.9796547368421056</v>
      </c>
      <c r="G31" s="136">
        <v>10.109840000000002</v>
      </c>
      <c r="H31" s="136">
        <v>41.012673684210526</v>
      </c>
      <c r="I31" s="136">
        <v>3.2760769590643282</v>
      </c>
      <c r="J31" s="136">
        <v>0</v>
      </c>
      <c r="K31" s="136">
        <v>5.2928294736842094</v>
      </c>
      <c r="L31" s="136">
        <v>0</v>
      </c>
      <c r="M31" s="136">
        <v>2.0918631578947364</v>
      </c>
      <c r="N31" s="136">
        <v>0</v>
      </c>
      <c r="O31" s="136">
        <v>0</v>
      </c>
      <c r="P31" s="136">
        <v>0</v>
      </c>
    </row>
    <row r="32" spans="1:16">
      <c r="A32" s="72">
        <v>10500</v>
      </c>
      <c r="B32" s="116" t="s">
        <v>12</v>
      </c>
      <c r="C32" s="104" t="s">
        <v>23</v>
      </c>
      <c r="D32" s="109">
        <f t="shared" si="9"/>
        <v>0</v>
      </c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</row>
    <row r="33" spans="1:16">
      <c r="A33" s="72">
        <v>6000</v>
      </c>
      <c r="B33" s="116" t="s">
        <v>11</v>
      </c>
      <c r="C33" s="104" t="s">
        <v>23</v>
      </c>
      <c r="D33" s="109">
        <f t="shared" si="9"/>
        <v>126330.70946254631</v>
      </c>
      <c r="E33" s="136">
        <v>12797</v>
      </c>
      <c r="F33" s="136">
        <v>12946</v>
      </c>
      <c r="G33" s="136">
        <v>12063</v>
      </c>
      <c r="H33" s="136">
        <v>11675</v>
      </c>
      <c r="I33" s="136">
        <v>11268</v>
      </c>
      <c r="J33" s="136">
        <v>2595</v>
      </c>
      <c r="K33" s="136">
        <v>7992</v>
      </c>
      <c r="L33" s="136">
        <v>8149</v>
      </c>
      <c r="M33" s="136">
        <v>12369</v>
      </c>
      <c r="N33" s="136">
        <v>11734</v>
      </c>
      <c r="O33" s="136">
        <v>11377</v>
      </c>
      <c r="P33" s="136">
        <v>11365.7094625463</v>
      </c>
    </row>
    <row r="34" spans="1:16" ht="15.75">
      <c r="A34" s="73">
        <v>6000</v>
      </c>
      <c r="B34" s="116" t="s">
        <v>402</v>
      </c>
      <c r="C34" s="104" t="s">
        <v>403</v>
      </c>
      <c r="D34" s="109">
        <f t="shared" si="9"/>
        <v>13990</v>
      </c>
      <c r="E34" s="136">
        <v>260</v>
      </c>
      <c r="F34" s="136">
        <v>260</v>
      </c>
      <c r="G34" s="136">
        <v>660</v>
      </c>
      <c r="H34" s="136">
        <v>1330</v>
      </c>
      <c r="I34" s="136">
        <v>1560</v>
      </c>
      <c r="J34" s="136">
        <v>1560</v>
      </c>
      <c r="K34" s="136">
        <v>1560</v>
      </c>
      <c r="L34" s="136">
        <v>1560</v>
      </c>
      <c r="M34" s="136">
        <v>1560</v>
      </c>
      <c r="N34" s="136">
        <v>1560</v>
      </c>
      <c r="O34" s="136">
        <v>1560</v>
      </c>
      <c r="P34" s="136">
        <v>560</v>
      </c>
    </row>
    <row r="35" spans="1:16" s="119" customFormat="1"/>
    <row r="36" spans="1:16">
      <c r="A36" s="122" t="s">
        <v>671</v>
      </c>
      <c r="B36" s="123" t="s">
        <v>670</v>
      </c>
      <c r="C36" s="108" t="s">
        <v>70</v>
      </c>
      <c r="D36" s="109">
        <f>SUM(E36:P36)</f>
        <v>279719.5</v>
      </c>
      <c r="E36" s="136">
        <v>24524.3</v>
      </c>
      <c r="F36" s="136">
        <v>24740</v>
      </c>
      <c r="G36" s="136">
        <v>23521</v>
      </c>
      <c r="H36" s="136">
        <v>24248</v>
      </c>
      <c r="I36" s="136">
        <v>21943</v>
      </c>
      <c r="J36" s="136">
        <v>23990.2</v>
      </c>
      <c r="K36" s="136">
        <v>25915</v>
      </c>
      <c r="L36" s="136">
        <v>22454</v>
      </c>
      <c r="M36" s="136">
        <v>21626</v>
      </c>
      <c r="N36" s="136">
        <v>22137</v>
      </c>
      <c r="O36" s="136">
        <v>23459</v>
      </c>
      <c r="P36" s="136">
        <v>21162</v>
      </c>
    </row>
    <row r="37" spans="1:16">
      <c r="A37" s="122" t="s">
        <v>672</v>
      </c>
      <c r="B37" s="123"/>
      <c r="C37" s="108" t="s">
        <v>70</v>
      </c>
      <c r="D37" s="109">
        <f>SUM(E37:P37)</f>
        <v>275399.5</v>
      </c>
      <c r="E37" s="136">
        <v>24131.3</v>
      </c>
      <c r="F37" s="136">
        <v>24019</v>
      </c>
      <c r="G37" s="136">
        <v>22956</v>
      </c>
      <c r="H37" s="136">
        <v>23407</v>
      </c>
      <c r="I37" s="136">
        <v>21943</v>
      </c>
      <c r="J37" s="136">
        <v>23990.2</v>
      </c>
      <c r="K37" s="136">
        <v>25915</v>
      </c>
      <c r="L37" s="136">
        <v>22166</v>
      </c>
      <c r="M37" s="136">
        <v>21499</v>
      </c>
      <c r="N37" s="136">
        <v>21581</v>
      </c>
      <c r="O37" s="136">
        <v>22915</v>
      </c>
      <c r="P37" s="136">
        <v>20877</v>
      </c>
    </row>
    <row r="38" spans="1:16">
      <c r="A38" s="122" t="s">
        <v>673</v>
      </c>
      <c r="B38" s="123"/>
      <c r="C38" s="108" t="s">
        <v>70</v>
      </c>
      <c r="D38" s="109">
        <f>SUM(E38:P38)</f>
        <v>4320</v>
      </c>
      <c r="E38" s="136">
        <v>393</v>
      </c>
      <c r="F38" s="136">
        <v>721</v>
      </c>
      <c r="G38" s="136">
        <v>565</v>
      </c>
      <c r="H38" s="136">
        <v>841</v>
      </c>
      <c r="I38" s="136"/>
      <c r="J38" s="136"/>
      <c r="K38" s="136">
        <v>0</v>
      </c>
      <c r="L38" s="136">
        <v>288</v>
      </c>
      <c r="M38" s="136">
        <v>127</v>
      </c>
      <c r="N38" s="136">
        <v>556</v>
      </c>
      <c r="O38" s="136">
        <v>544</v>
      </c>
      <c r="P38" s="136">
        <v>285</v>
      </c>
    </row>
    <row r="39" spans="1:16">
      <c r="A39" s="839" t="s">
        <v>16</v>
      </c>
      <c r="B39" s="124"/>
      <c r="C39" s="108" t="s">
        <v>70</v>
      </c>
      <c r="D39" s="109">
        <f>SUM(E39:P39)</f>
        <v>56219.556999999993</v>
      </c>
      <c r="E39" s="136">
        <v>4496.9229999999998</v>
      </c>
      <c r="F39" s="136">
        <v>4438.4320000000007</v>
      </c>
      <c r="G39" s="136">
        <v>4267.9809999999989</v>
      </c>
      <c r="H39" s="136">
        <v>4314.4609999999984</v>
      </c>
      <c r="I39" s="136">
        <v>4435.8060000000014</v>
      </c>
      <c r="J39" s="136">
        <v>5881.1390000000001</v>
      </c>
      <c r="K39" s="136">
        <v>5990.4779999999973</v>
      </c>
      <c r="L39" s="136">
        <v>4972.3159999999989</v>
      </c>
      <c r="M39" s="136">
        <v>4771.2549999999983</v>
      </c>
      <c r="N39" s="136">
        <v>4463.7659999999978</v>
      </c>
      <c r="O39" s="136">
        <v>4489.3820000000023</v>
      </c>
      <c r="P39" s="136">
        <v>3697.6180000000027</v>
      </c>
    </row>
    <row r="40" spans="1:16">
      <c r="A40" s="839"/>
      <c r="B40" s="124"/>
      <c r="C40" s="104" t="s">
        <v>7</v>
      </c>
      <c r="D40" s="125">
        <f t="shared" ref="D40:P40" si="12">IF(D36=0,0,D39/D36)</f>
        <v>0.20098547652201579</v>
      </c>
      <c r="E40" s="125">
        <f t="shared" si="12"/>
        <v>0.18336600840798717</v>
      </c>
      <c r="F40" s="125">
        <f t="shared" si="12"/>
        <v>0.17940307194826194</v>
      </c>
      <c r="G40" s="125">
        <f t="shared" si="12"/>
        <v>0.18145406232728195</v>
      </c>
      <c r="H40" s="125">
        <f t="shared" si="12"/>
        <v>0.17793059221379076</v>
      </c>
      <c r="I40" s="125">
        <f t="shared" si="12"/>
        <v>0.20215130109830021</v>
      </c>
      <c r="J40" s="125">
        <f t="shared" si="12"/>
        <v>0.2451475602537703</v>
      </c>
      <c r="K40" s="125">
        <f t="shared" si="12"/>
        <v>0.23115871117113632</v>
      </c>
      <c r="L40" s="125">
        <f t="shared" si="12"/>
        <v>0.22144455330898721</v>
      </c>
      <c r="M40" s="125">
        <f t="shared" si="12"/>
        <v>0.22062586701193002</v>
      </c>
      <c r="N40" s="125">
        <f t="shared" si="12"/>
        <v>0.20164277002303826</v>
      </c>
      <c r="O40" s="125">
        <f t="shared" si="12"/>
        <v>0.19137141395626422</v>
      </c>
      <c r="P40" s="125">
        <f t="shared" si="12"/>
        <v>0.1747291371325963</v>
      </c>
    </row>
    <row r="41" spans="1:16" ht="20.25">
      <c r="A41" s="838" t="s">
        <v>404</v>
      </c>
      <c r="B41" s="126" t="s">
        <v>394</v>
      </c>
      <c r="C41" s="108" t="s">
        <v>70</v>
      </c>
      <c r="D41" s="127">
        <f t="shared" ref="D41:D46" si="13">SUM(E41:P41)</f>
        <v>223499.94299999997</v>
      </c>
      <c r="E41" s="109">
        <f t="shared" ref="E41:P41" si="14">SUM(E36,-E39)</f>
        <v>20027.377</v>
      </c>
      <c r="F41" s="109">
        <f t="shared" si="14"/>
        <v>20301.567999999999</v>
      </c>
      <c r="G41" s="109">
        <f t="shared" si="14"/>
        <v>19253.019</v>
      </c>
      <c r="H41" s="109">
        <f t="shared" si="14"/>
        <v>19933.539000000001</v>
      </c>
      <c r="I41" s="109">
        <f t="shared" si="14"/>
        <v>17507.194</v>
      </c>
      <c r="J41" s="109">
        <f t="shared" si="14"/>
        <v>18109.061000000002</v>
      </c>
      <c r="K41" s="109">
        <f t="shared" si="14"/>
        <v>19924.522000000004</v>
      </c>
      <c r="L41" s="109">
        <f t="shared" si="14"/>
        <v>17481.684000000001</v>
      </c>
      <c r="M41" s="109">
        <f t="shared" si="14"/>
        <v>16854.745000000003</v>
      </c>
      <c r="N41" s="109">
        <f t="shared" si="14"/>
        <v>17673.234000000004</v>
      </c>
      <c r="O41" s="109">
        <f t="shared" si="14"/>
        <v>18969.617999999999</v>
      </c>
      <c r="P41" s="109">
        <f t="shared" si="14"/>
        <v>17464.381999999998</v>
      </c>
    </row>
    <row r="42" spans="1:16">
      <c r="A42" s="838"/>
      <c r="B42" s="123" t="s">
        <v>675</v>
      </c>
      <c r="C42" s="108" t="s">
        <v>70</v>
      </c>
      <c r="D42" s="109">
        <f t="shared" si="13"/>
        <v>0</v>
      </c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</row>
    <row r="43" spans="1:16">
      <c r="A43" s="838"/>
      <c r="B43" s="123" t="s">
        <v>674</v>
      </c>
      <c r="C43" s="108" t="s">
        <v>70</v>
      </c>
      <c r="D43" s="127">
        <f t="shared" si="13"/>
        <v>223499.94299999997</v>
      </c>
      <c r="E43" s="118">
        <f>SUM(E41,-E42)</f>
        <v>20027.377</v>
      </c>
      <c r="F43" s="118">
        <f t="shared" ref="F43:P43" si="15">SUM(F41,-F42)</f>
        <v>20301.567999999999</v>
      </c>
      <c r="G43" s="118">
        <f t="shared" si="15"/>
        <v>19253.019</v>
      </c>
      <c r="H43" s="118">
        <f t="shared" si="15"/>
        <v>19933.539000000001</v>
      </c>
      <c r="I43" s="118">
        <f t="shared" si="15"/>
        <v>17507.194</v>
      </c>
      <c r="J43" s="118">
        <f t="shared" si="15"/>
        <v>18109.061000000002</v>
      </c>
      <c r="K43" s="118">
        <f t="shared" si="15"/>
        <v>19924.522000000004</v>
      </c>
      <c r="L43" s="118">
        <f t="shared" si="15"/>
        <v>17481.684000000001</v>
      </c>
      <c r="M43" s="118">
        <f t="shared" si="15"/>
        <v>16854.745000000003</v>
      </c>
      <c r="N43" s="118">
        <f t="shared" si="15"/>
        <v>17673.234000000004</v>
      </c>
      <c r="O43" s="118">
        <f t="shared" si="15"/>
        <v>18969.617999999999</v>
      </c>
      <c r="P43" s="118">
        <f t="shared" si="15"/>
        <v>17464.381999999998</v>
      </c>
    </row>
    <row r="44" spans="1:16">
      <c r="A44" s="838" t="s">
        <v>408</v>
      </c>
      <c r="B44" s="128" t="s">
        <v>405</v>
      </c>
      <c r="C44" s="108" t="s">
        <v>70</v>
      </c>
      <c r="D44" s="109">
        <f t="shared" si="13"/>
        <v>7.2759576141834259E-12</v>
      </c>
      <c r="E44" s="109">
        <f>SUM(E43,-E45,-E46)</f>
        <v>0</v>
      </c>
      <c r="F44" s="109">
        <f t="shared" ref="F44:P44" si="16">SUM(F43,-F45,-F46)</f>
        <v>0</v>
      </c>
      <c r="G44" s="109">
        <f t="shared" si="16"/>
        <v>0</v>
      </c>
      <c r="H44" s="109">
        <f t="shared" si="16"/>
        <v>0</v>
      </c>
      <c r="I44" s="109">
        <f t="shared" si="16"/>
        <v>0</v>
      </c>
      <c r="J44" s="109">
        <f t="shared" si="16"/>
        <v>0</v>
      </c>
      <c r="K44" s="109">
        <f t="shared" si="16"/>
        <v>3.637978807091713E-12</v>
      </c>
      <c r="L44" s="109">
        <f t="shared" si="16"/>
        <v>0</v>
      </c>
      <c r="M44" s="109">
        <f t="shared" si="16"/>
        <v>0</v>
      </c>
      <c r="N44" s="109">
        <f t="shared" si="16"/>
        <v>3.637978807091713E-12</v>
      </c>
      <c r="O44" s="109">
        <f t="shared" si="16"/>
        <v>0</v>
      </c>
      <c r="P44" s="109">
        <f t="shared" si="16"/>
        <v>0</v>
      </c>
    </row>
    <row r="45" spans="1:16">
      <c r="A45" s="838"/>
      <c r="B45" s="128" t="s">
        <v>406</v>
      </c>
      <c r="C45" s="108" t="s">
        <v>70</v>
      </c>
      <c r="D45" s="109">
        <f t="shared" si="13"/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</row>
    <row r="46" spans="1:16">
      <c r="A46" s="838"/>
      <c r="B46" s="128" t="s">
        <v>407</v>
      </c>
      <c r="C46" s="108" t="s">
        <v>70</v>
      </c>
      <c r="D46" s="109">
        <f t="shared" si="13"/>
        <v>223499.94299999997</v>
      </c>
      <c r="E46" s="136">
        <v>20027.377</v>
      </c>
      <c r="F46" s="136">
        <v>20301.567999999999</v>
      </c>
      <c r="G46" s="136">
        <v>19253.019</v>
      </c>
      <c r="H46" s="136">
        <v>19933.539000000001</v>
      </c>
      <c r="I46" s="136">
        <v>17507.194</v>
      </c>
      <c r="J46" s="136">
        <v>18109.061000000002</v>
      </c>
      <c r="K46" s="136">
        <v>19924.522000000001</v>
      </c>
      <c r="L46" s="136">
        <v>17481.684000000001</v>
      </c>
      <c r="M46" s="136">
        <v>16854.745000000003</v>
      </c>
      <c r="N46" s="136">
        <v>17673.234</v>
      </c>
      <c r="O46" s="136">
        <v>18969.617999999999</v>
      </c>
      <c r="P46" s="136">
        <v>17464.381999999998</v>
      </c>
    </row>
    <row r="47" spans="1:16">
      <c r="A47" s="837" t="s">
        <v>745</v>
      </c>
      <c r="B47" s="205" t="s">
        <v>395</v>
      </c>
      <c r="C47" s="108" t="s">
        <v>164</v>
      </c>
      <c r="D47" s="116"/>
      <c r="E47" s="136">
        <v>62.927599999999998</v>
      </c>
      <c r="F47" s="136">
        <v>55.243001756834389</v>
      </c>
      <c r="G47" s="136">
        <v>65.104108859819135</v>
      </c>
      <c r="H47" s="136">
        <v>66.260000000000005</v>
      </c>
      <c r="I47" s="136">
        <v>70</v>
      </c>
      <c r="J47" s="136">
        <v>75.53</v>
      </c>
      <c r="K47" s="136">
        <v>81</v>
      </c>
      <c r="L47" s="136">
        <v>107</v>
      </c>
      <c r="M47" s="136">
        <v>84.049182303114407</v>
      </c>
      <c r="N47" s="136">
        <v>72.648446756232588</v>
      </c>
      <c r="O47" s="136">
        <v>72.648446756232588</v>
      </c>
      <c r="P47" s="136">
        <v>55.1</v>
      </c>
    </row>
    <row r="48" spans="1:16">
      <c r="A48" s="837"/>
      <c r="B48" s="643" t="s">
        <v>396</v>
      </c>
      <c r="C48" s="108" t="s">
        <v>164</v>
      </c>
      <c r="D48" s="107"/>
      <c r="E48" s="136">
        <v>3.9741897602999998</v>
      </c>
      <c r="F48" s="136">
        <v>2.1968139600000001</v>
      </c>
      <c r="G48" s="136">
        <v>0.90198116460000011</v>
      </c>
      <c r="H48" s="136">
        <v>3.7502802777999995</v>
      </c>
      <c r="I48" s="136">
        <v>5.59</v>
      </c>
      <c r="J48" s="136">
        <v>1.71</v>
      </c>
      <c r="K48" s="136">
        <v>12.7</v>
      </c>
      <c r="L48" s="136">
        <v>12</v>
      </c>
      <c r="M48" s="136">
        <v>2.8171883979999999</v>
      </c>
      <c r="N48" s="136">
        <v>1.6528590889999999</v>
      </c>
      <c r="O48" s="136">
        <v>11.9</v>
      </c>
      <c r="P48" s="136">
        <v>1.5600384307999999</v>
      </c>
    </row>
    <row r="49" spans="1:16">
      <c r="A49" s="232"/>
      <c r="B49" s="644"/>
      <c r="C49" s="113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</row>
    <row r="50" spans="1:16">
      <c r="A50" s="232"/>
      <c r="B50" s="644"/>
      <c r="C50" s="113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</row>
    <row r="51" spans="1:16" ht="15.75">
      <c r="B51" s="233" t="s">
        <v>779</v>
      </c>
      <c r="C51" s="417"/>
      <c r="G51" s="131"/>
      <c r="I51" s="132"/>
      <c r="J51" s="132"/>
      <c r="K51" s="100" t="str">
        <f>Разходи!E91</f>
        <v>Изп. директор:</v>
      </c>
    </row>
    <row r="52" spans="1:16">
      <c r="A52" s="129"/>
      <c r="B52" s="103"/>
      <c r="C52" s="689" t="s">
        <v>780</v>
      </c>
      <c r="G52" s="132"/>
      <c r="H52" s="134"/>
      <c r="I52" s="134"/>
      <c r="J52" s="134"/>
      <c r="L52" s="100" t="str">
        <f>Разходи!F93</f>
        <v xml:space="preserve"> /С.Желев/</v>
      </c>
    </row>
    <row r="53" spans="1:16">
      <c r="A53" s="129"/>
      <c r="B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</row>
    <row r="54" spans="1:16" hidden="1">
      <c r="A54" s="129"/>
      <c r="B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</row>
    <row r="55" spans="1:16" hidden="1">
      <c r="A55" s="129"/>
      <c r="B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</row>
    <row r="56" spans="1:16" hidden="1">
      <c r="A56" s="129"/>
      <c r="B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</row>
    <row r="57" spans="1:16" hidden="1">
      <c r="A57" s="129"/>
      <c r="B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</row>
    <row r="58" spans="1:16" hidden="1">
      <c r="A58" s="129"/>
      <c r="B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</row>
    <row r="59" spans="1:16" hidden="1">
      <c r="A59" s="129"/>
      <c r="B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</row>
    <row r="60" spans="1:16" hidden="1">
      <c r="A60" s="129"/>
      <c r="B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</row>
    <row r="61" spans="1:16" hidden="1">
      <c r="A61" s="129"/>
      <c r="B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</row>
    <row r="62" spans="1:16" hidden="1">
      <c r="A62" s="129"/>
      <c r="B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</row>
    <row r="63" spans="1:16" hidden="1">
      <c r="A63" s="129"/>
      <c r="B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</row>
    <row r="64" spans="1:16" hidden="1">
      <c r="A64" s="129"/>
      <c r="B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</row>
    <row r="65" spans="1:16" hidden="1">
      <c r="A65" s="129"/>
      <c r="B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</row>
    <row r="66" spans="1:16" hidden="1">
      <c r="A66" s="129"/>
      <c r="B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</row>
    <row r="67" spans="1:16" hidden="1">
      <c r="A67" s="129"/>
      <c r="B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</row>
    <row r="68" spans="1:16" hidden="1">
      <c r="A68" s="129"/>
      <c r="B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</row>
    <row r="69" spans="1:16" hidden="1">
      <c r="A69" s="129"/>
      <c r="B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</row>
    <row r="70" spans="1:16" hidden="1">
      <c r="A70" s="129"/>
      <c r="B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</row>
    <row r="71" spans="1:16" hidden="1">
      <c r="A71" s="129"/>
      <c r="B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</row>
    <row r="72" spans="1:16" hidden="1">
      <c r="A72" s="129"/>
      <c r="B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</row>
    <row r="73" spans="1:16" hidden="1">
      <c r="A73" s="129"/>
      <c r="B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</row>
    <row r="74" spans="1:16" hidden="1">
      <c r="A74" s="129"/>
      <c r="B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</row>
    <row r="75" spans="1:16" hidden="1">
      <c r="A75" s="129"/>
      <c r="B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</row>
    <row r="76" spans="1:16" hidden="1">
      <c r="A76" s="129"/>
      <c r="B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</row>
    <row r="77" spans="1:16" hidden="1">
      <c r="A77" s="129"/>
      <c r="B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</row>
    <row r="78" spans="1:16" hidden="1">
      <c r="A78" s="129"/>
      <c r="B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</row>
    <row r="79" spans="1:16" hidden="1">
      <c r="A79" s="129"/>
      <c r="B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</row>
    <row r="80" spans="1:16" hidden="1">
      <c r="A80" s="129"/>
      <c r="B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</row>
    <row r="81" spans="1:16" hidden="1">
      <c r="A81" s="129"/>
      <c r="B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</row>
    <row r="82" spans="1:16" hidden="1">
      <c r="A82" s="129"/>
      <c r="B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</row>
    <row r="83" spans="1:16" hidden="1">
      <c r="A83" s="129"/>
      <c r="B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</row>
    <row r="84" spans="1:16" hidden="1">
      <c r="A84" s="129"/>
      <c r="B84" s="129"/>
      <c r="D84" s="129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29"/>
    </row>
    <row r="85" spans="1:16" hidden="1">
      <c r="A85" s="129"/>
      <c r="B85" s="129"/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29"/>
      <c r="P85" s="129"/>
    </row>
    <row r="86" spans="1:16" hidden="1">
      <c r="A86" s="129"/>
      <c r="B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</row>
    <row r="87" spans="1:16" hidden="1">
      <c r="A87" s="129"/>
      <c r="B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</row>
    <row r="88" spans="1:16" hidden="1">
      <c r="A88" s="129"/>
      <c r="B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</row>
    <row r="89" spans="1:16" hidden="1">
      <c r="A89" s="129"/>
      <c r="B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29"/>
      <c r="P89" s="129"/>
    </row>
    <row r="90" spans="1:16" hidden="1">
      <c r="A90" s="129"/>
      <c r="B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</row>
    <row r="91" spans="1:16" hidden="1">
      <c r="A91" s="129"/>
      <c r="B91" s="129"/>
      <c r="D91" s="129"/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/>
      <c r="P91" s="129"/>
    </row>
    <row r="92" spans="1:16" hidden="1">
      <c r="A92" s="129"/>
      <c r="B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</row>
    <row r="93" spans="1:16" hidden="1">
      <c r="A93" s="129"/>
      <c r="B93" s="129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</row>
    <row r="94" spans="1:16" hidden="1">
      <c r="A94" s="129"/>
      <c r="B94" s="129"/>
      <c r="D94" s="129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</row>
    <row r="95" spans="1:16" hidden="1">
      <c r="A95" s="129"/>
      <c r="B95" s="129"/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</row>
    <row r="96" spans="1:16" hidden="1">
      <c r="A96" s="129"/>
      <c r="B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</row>
    <row r="97" spans="1:16" hidden="1">
      <c r="A97" s="129"/>
      <c r="B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</row>
    <row r="98" spans="1:16" hidden="1">
      <c r="A98" s="129"/>
      <c r="B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</row>
    <row r="99" spans="1:16" hidden="1">
      <c r="A99" s="129"/>
      <c r="B99" s="129"/>
      <c r="D99" s="129"/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</row>
    <row r="100" spans="1:16" hidden="1">
      <c r="A100" s="129"/>
      <c r="B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</row>
    <row r="101" spans="1:16" hidden="1">
      <c r="A101" s="129"/>
      <c r="B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</row>
    <row r="102" spans="1:16" hidden="1">
      <c r="A102" s="129"/>
      <c r="B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/>
    </row>
    <row r="103" spans="1:16" hidden="1">
      <c r="A103" s="129"/>
      <c r="B103" s="129"/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29"/>
    </row>
    <row r="104" spans="1:16" hidden="1">
      <c r="A104" s="129"/>
      <c r="B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</row>
    <row r="105" spans="1:16" hidden="1">
      <c r="A105" s="129"/>
      <c r="B105" s="129"/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  <c r="P105" s="129"/>
    </row>
    <row r="106" spans="1:16" hidden="1">
      <c r="A106" s="129"/>
      <c r="B106" s="129"/>
      <c r="D106" s="129"/>
      <c r="E106" s="129"/>
      <c r="F106" s="129"/>
      <c r="G106" s="129"/>
      <c r="H106" s="129"/>
      <c r="I106" s="129"/>
      <c r="J106" s="129"/>
      <c r="K106" s="129"/>
      <c r="L106" s="129"/>
      <c r="M106" s="129"/>
      <c r="N106" s="129"/>
      <c r="O106" s="129"/>
      <c r="P106" s="129"/>
    </row>
    <row r="107" spans="1:16" hidden="1">
      <c r="A107" s="129"/>
      <c r="B107" s="129"/>
      <c r="D107" s="129"/>
      <c r="E107" s="129"/>
      <c r="F107" s="129"/>
      <c r="G107" s="129"/>
      <c r="H107" s="129"/>
      <c r="I107" s="129"/>
      <c r="J107" s="129"/>
      <c r="K107" s="129"/>
      <c r="L107" s="129"/>
      <c r="M107" s="129"/>
      <c r="N107" s="129"/>
      <c r="O107" s="129"/>
      <c r="P107" s="129"/>
    </row>
    <row r="108" spans="1:16" hidden="1">
      <c r="A108" s="129"/>
      <c r="B108" s="129"/>
      <c r="D108" s="129"/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29"/>
      <c r="P108" s="129"/>
    </row>
    <row r="109" spans="1:16" hidden="1">
      <c r="A109" s="129"/>
      <c r="B109" s="129"/>
      <c r="D109" s="129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29"/>
      <c r="P109" s="129"/>
    </row>
    <row r="110" spans="1:16" hidden="1">
      <c r="A110" s="129"/>
      <c r="B110" s="129"/>
      <c r="D110" s="129"/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29"/>
      <c r="P110" s="129"/>
    </row>
    <row r="111" spans="1:16" hidden="1">
      <c r="A111" s="129"/>
      <c r="B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</row>
    <row r="112" spans="1:16" hidden="1">
      <c r="A112" s="129"/>
      <c r="B112" s="129"/>
      <c r="D112" s="129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</row>
    <row r="113" spans="1:16" hidden="1">
      <c r="A113" s="129"/>
      <c r="B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</row>
    <row r="114" spans="1:16" hidden="1">
      <c r="A114" s="129"/>
      <c r="B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</row>
    <row r="115" spans="1:16" hidden="1">
      <c r="A115" s="129"/>
      <c r="B115" s="129"/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</row>
    <row r="116" spans="1:16" hidden="1">
      <c r="A116" s="129"/>
      <c r="B116" s="129"/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29"/>
      <c r="P116" s="129"/>
    </row>
    <row r="117" spans="1:16" hidden="1">
      <c r="A117" s="129"/>
      <c r="B117" s="129"/>
      <c r="D117" s="129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</row>
    <row r="118" spans="1:16" hidden="1">
      <c r="A118" s="129"/>
      <c r="B118" s="129"/>
      <c r="D118" s="129"/>
      <c r="E118" s="129"/>
      <c r="F118" s="129"/>
      <c r="G118" s="129"/>
      <c r="H118" s="129"/>
      <c r="I118" s="129"/>
      <c r="J118" s="129"/>
      <c r="K118" s="129"/>
      <c r="L118" s="129"/>
      <c r="M118" s="129"/>
      <c r="N118" s="129"/>
      <c r="O118" s="129"/>
      <c r="P118" s="129"/>
    </row>
    <row r="119" spans="1:16" hidden="1">
      <c r="A119" s="129"/>
      <c r="B119" s="129"/>
      <c r="D119" s="129"/>
      <c r="E119" s="129"/>
      <c r="F119" s="129"/>
      <c r="G119" s="129"/>
      <c r="H119" s="129"/>
      <c r="I119" s="129"/>
      <c r="J119" s="129"/>
      <c r="K119" s="129"/>
      <c r="L119" s="129"/>
      <c r="M119" s="129"/>
      <c r="N119" s="129"/>
      <c r="O119" s="129"/>
      <c r="P119" s="129"/>
    </row>
    <row r="120" spans="1:16" hidden="1">
      <c r="A120" s="129"/>
      <c r="B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</row>
    <row r="121" spans="1:16" hidden="1">
      <c r="A121" s="129"/>
      <c r="B121" s="129"/>
      <c r="D121" s="129"/>
      <c r="E121" s="129"/>
      <c r="F121" s="129"/>
      <c r="G121" s="129"/>
      <c r="H121" s="129"/>
      <c r="I121" s="129"/>
      <c r="J121" s="129"/>
      <c r="K121" s="129"/>
      <c r="L121" s="129"/>
      <c r="M121" s="129"/>
      <c r="N121" s="129"/>
      <c r="O121" s="129"/>
      <c r="P121" s="129"/>
    </row>
    <row r="122" spans="1:16" hidden="1">
      <c r="A122" s="129"/>
      <c r="B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</row>
    <row r="123" spans="1:16" hidden="1">
      <c r="A123" s="129"/>
      <c r="B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29"/>
      <c r="P123" s="129"/>
    </row>
    <row r="124" spans="1:16" hidden="1">
      <c r="A124" s="129"/>
      <c r="B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</row>
    <row r="125" spans="1:16" hidden="1">
      <c r="A125" s="129"/>
      <c r="B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</row>
    <row r="126" spans="1:16" hidden="1">
      <c r="A126" s="129"/>
      <c r="B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</row>
    <row r="127" spans="1:16" hidden="1">
      <c r="A127" s="129"/>
      <c r="B127" s="129"/>
      <c r="D127" s="129"/>
      <c r="E127" s="129"/>
      <c r="F127" s="129"/>
      <c r="G127" s="129"/>
      <c r="H127" s="129"/>
      <c r="I127" s="129"/>
      <c r="J127" s="129"/>
      <c r="K127" s="129"/>
      <c r="L127" s="129"/>
      <c r="M127" s="129"/>
      <c r="N127" s="129"/>
      <c r="O127" s="129"/>
      <c r="P127" s="129"/>
    </row>
    <row r="128" spans="1:16" hidden="1">
      <c r="A128" s="129"/>
      <c r="B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</row>
    <row r="129" spans="1:16" hidden="1">
      <c r="A129" s="129"/>
      <c r="B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</row>
    <row r="130" spans="1:16" hidden="1">
      <c r="A130" s="129"/>
      <c r="B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</row>
    <row r="131" spans="1:16" hidden="1">
      <c r="A131" s="129"/>
      <c r="B131" s="129"/>
      <c r="D131" s="129"/>
      <c r="E131" s="129"/>
      <c r="F131" s="129"/>
      <c r="G131" s="129"/>
      <c r="H131" s="129"/>
      <c r="I131" s="129"/>
      <c r="J131" s="129"/>
      <c r="K131" s="129"/>
      <c r="L131" s="129"/>
      <c r="M131" s="129"/>
      <c r="N131" s="129"/>
      <c r="O131" s="129"/>
      <c r="P131" s="129"/>
    </row>
    <row r="132" spans="1:16" hidden="1">
      <c r="A132" s="129"/>
      <c r="B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</row>
    <row r="133" spans="1:16" hidden="1">
      <c r="A133" s="129"/>
      <c r="B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</row>
    <row r="134" spans="1:16" hidden="1">
      <c r="A134" s="129"/>
      <c r="B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</row>
    <row r="135" spans="1:16" hidden="1">
      <c r="A135" s="129"/>
      <c r="B135" s="129"/>
      <c r="D135" s="129"/>
      <c r="E135" s="129"/>
      <c r="F135" s="129"/>
      <c r="G135" s="129"/>
      <c r="H135" s="129"/>
      <c r="I135" s="129"/>
      <c r="J135" s="129"/>
      <c r="K135" s="129"/>
      <c r="L135" s="129"/>
      <c r="M135" s="129"/>
      <c r="N135" s="129"/>
      <c r="O135" s="129"/>
      <c r="P135" s="129"/>
    </row>
    <row r="136" spans="1:16" hidden="1">
      <c r="A136" s="129"/>
      <c r="B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</row>
    <row r="137" spans="1:16" hidden="1">
      <c r="A137" s="129"/>
      <c r="B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</row>
    <row r="138" spans="1:16" hidden="1">
      <c r="A138" s="129"/>
      <c r="B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</row>
    <row r="139" spans="1:16" hidden="1">
      <c r="A139" s="129"/>
      <c r="B139" s="129"/>
      <c r="D139" s="129"/>
      <c r="E139" s="129"/>
      <c r="F139" s="129"/>
      <c r="G139" s="129"/>
      <c r="H139" s="129"/>
      <c r="I139" s="129"/>
      <c r="J139" s="129"/>
      <c r="K139" s="129"/>
      <c r="L139" s="129"/>
      <c r="M139" s="129"/>
      <c r="N139" s="129"/>
      <c r="O139" s="129"/>
      <c r="P139" s="129"/>
    </row>
    <row r="140" spans="1:16" hidden="1">
      <c r="A140" s="129"/>
      <c r="B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</row>
    <row r="141" spans="1:16" hidden="1">
      <c r="A141" s="129"/>
      <c r="B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</row>
    <row r="142" spans="1:16" hidden="1">
      <c r="A142" s="129"/>
      <c r="B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</row>
    <row r="143" spans="1:16" hidden="1">
      <c r="A143" s="129"/>
      <c r="B143" s="129"/>
      <c r="D143" s="129"/>
      <c r="E143" s="129"/>
      <c r="F143" s="129"/>
      <c r="G143" s="129"/>
      <c r="H143" s="129"/>
      <c r="I143" s="129"/>
      <c r="J143" s="129"/>
      <c r="K143" s="129"/>
      <c r="L143" s="129"/>
      <c r="M143" s="129"/>
      <c r="N143" s="129"/>
      <c r="O143" s="129"/>
      <c r="P143" s="129"/>
    </row>
    <row r="144" spans="1:16" hidden="1">
      <c r="A144" s="129"/>
      <c r="B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</row>
    <row r="145" spans="1:16" hidden="1">
      <c r="A145" s="129"/>
      <c r="B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</row>
    <row r="146" spans="1:16" hidden="1">
      <c r="A146" s="129"/>
      <c r="B146" s="129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</row>
    <row r="147" spans="1:16" hidden="1">
      <c r="A147" s="129"/>
      <c r="B147" s="129"/>
      <c r="D147" s="129"/>
      <c r="E147" s="129"/>
      <c r="F147" s="129"/>
      <c r="G147" s="129"/>
      <c r="H147" s="129"/>
      <c r="I147" s="129"/>
      <c r="J147" s="129"/>
      <c r="K147" s="129"/>
      <c r="L147" s="129"/>
      <c r="M147" s="129"/>
      <c r="N147" s="129"/>
      <c r="O147" s="129"/>
      <c r="P147" s="129"/>
    </row>
    <row r="148" spans="1:16" hidden="1">
      <c r="A148" s="129"/>
      <c r="B148" s="129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</row>
    <row r="149" spans="1:16" hidden="1">
      <c r="A149" s="129"/>
      <c r="B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tabSelected="1" workbookViewId="0">
      <pane ySplit="7" topLeftCell="A8" activePane="bottomLeft" state="frozen"/>
      <selection pane="bottomLeft" activeCell="H25" sqref="H25"/>
    </sheetView>
  </sheetViews>
  <sheetFormatPr defaultColWidth="0" defaultRowHeight="12.75" zeroHeight="1"/>
  <cols>
    <col min="1" max="1" width="4.5703125" style="129" customWidth="1"/>
    <col min="2" max="2" width="34.42578125" style="129" customWidth="1"/>
    <col min="3" max="3" width="7.5703125" style="103" bestFit="1" customWidth="1"/>
    <col min="4" max="4" width="9" style="103" customWidth="1"/>
    <col min="5" max="5" width="9.140625" style="103" customWidth="1"/>
    <col min="6" max="6" width="9.5703125" style="103" customWidth="1"/>
    <col min="7" max="8" width="9" style="103" customWidth="1"/>
    <col min="9" max="9" width="11.5703125" style="103" customWidth="1"/>
    <col min="10" max="10" width="9.42578125" style="129" customWidth="1"/>
    <col min="11" max="16384" width="0" style="129" hidden="1"/>
  </cols>
  <sheetData>
    <row r="1" spans="1:10">
      <c r="B1" s="701">
        <v>1</v>
      </c>
      <c r="C1" s="701"/>
      <c r="I1" s="130" t="s">
        <v>679</v>
      </c>
    </row>
    <row r="2" spans="1:10">
      <c r="B2" s="702" t="s">
        <v>386</v>
      </c>
      <c r="C2" s="702"/>
    </row>
    <row r="3" spans="1:10">
      <c r="A3" s="149"/>
      <c r="B3" s="702" t="str">
        <f>'ТИП-ПРОИЗ'!$B$3:$C$3</f>
        <v>"Топлофикация-Русе" ЕАД</v>
      </c>
      <c r="C3" s="702"/>
      <c r="D3" s="149"/>
      <c r="E3" s="149"/>
      <c r="F3" s="149"/>
      <c r="G3" s="149"/>
      <c r="H3" s="149"/>
      <c r="I3" s="149"/>
    </row>
    <row r="4" spans="1:10" ht="12.75" customHeight="1" thickBot="1">
      <c r="A4" s="157"/>
      <c r="B4" s="157"/>
      <c r="C4" s="157"/>
      <c r="D4" s="157"/>
      <c r="E4" s="157"/>
      <c r="F4" s="157"/>
      <c r="G4" s="157"/>
      <c r="H4" s="157"/>
      <c r="I4" s="157"/>
    </row>
    <row r="5" spans="1:10" ht="13.5" thickTop="1">
      <c r="A5" s="695" t="s">
        <v>0</v>
      </c>
      <c r="B5" s="697" t="s">
        <v>1</v>
      </c>
      <c r="C5" s="697" t="s">
        <v>2</v>
      </c>
      <c r="D5" s="699">
        <f>'ТИП-ПРОИЗ'!E6</f>
        <v>2019.0000000000018</v>
      </c>
      <c r="E5" s="699"/>
      <c r="F5" s="699"/>
      <c r="G5" s="703">
        <f>'ТИП-ПРОИЗ'!F6</f>
        <v>7.202</v>
      </c>
      <c r="H5" s="704"/>
      <c r="I5" s="705"/>
    </row>
    <row r="6" spans="1:10">
      <c r="A6" s="696"/>
      <c r="B6" s="698"/>
      <c r="C6" s="698"/>
      <c r="D6" s="158" t="s">
        <v>250</v>
      </c>
      <c r="E6" s="158" t="s">
        <v>85</v>
      </c>
      <c r="F6" s="159" t="s">
        <v>152</v>
      </c>
      <c r="G6" s="158" t="s">
        <v>250</v>
      </c>
      <c r="H6" s="158" t="s">
        <v>85</v>
      </c>
      <c r="I6" s="510" t="s">
        <v>152</v>
      </c>
    </row>
    <row r="7" spans="1:10">
      <c r="A7" s="160">
        <v>1</v>
      </c>
      <c r="B7" s="161">
        <v>2</v>
      </c>
      <c r="C7" s="161">
        <v>3</v>
      </c>
      <c r="D7" s="161">
        <v>4</v>
      </c>
      <c r="E7" s="161">
        <v>5</v>
      </c>
      <c r="F7" s="161" t="s">
        <v>80</v>
      </c>
      <c r="G7" s="161">
        <v>7</v>
      </c>
      <c r="H7" s="161">
        <v>8</v>
      </c>
      <c r="I7" s="162" t="s">
        <v>79</v>
      </c>
    </row>
    <row r="8" spans="1:10">
      <c r="A8" s="163" t="s">
        <v>133</v>
      </c>
      <c r="B8" s="164" t="s">
        <v>151</v>
      </c>
      <c r="C8" s="165" t="s">
        <v>3</v>
      </c>
      <c r="D8" s="127">
        <f>SUM(D9:D10)</f>
        <v>67332.771425527782</v>
      </c>
      <c r="E8" s="127">
        <f>SUM(E9:E10)</f>
        <v>2986.4054394999998</v>
      </c>
      <c r="F8" s="166">
        <f>SUM(D8:E8)</f>
        <v>70319.176865027781</v>
      </c>
      <c r="G8" s="127">
        <f>SUM(G9:G10)</f>
        <v>95972.912426937706</v>
      </c>
      <c r="H8" s="127">
        <f>SUM(H9:H10)</f>
        <v>3255.0389635599595</v>
      </c>
      <c r="I8" s="167">
        <f>SUM(G8:H8)</f>
        <v>99227.951390497663</v>
      </c>
    </row>
    <row r="9" spans="1:10">
      <c r="A9" s="168" t="s">
        <v>143</v>
      </c>
      <c r="B9" s="169" t="s">
        <v>39</v>
      </c>
      <c r="C9" s="170" t="s">
        <v>3</v>
      </c>
      <c r="D9" s="171">
        <f>РБА!D76*НВ!F$21</f>
        <v>2523.9998910000004</v>
      </c>
      <c r="E9" s="171">
        <f>РБА!E76*НВ!F$21</f>
        <v>666.6045795</v>
      </c>
      <c r="F9" s="172">
        <f>SUM(D9,E9)</f>
        <v>3190.6044705000004</v>
      </c>
      <c r="G9" s="171">
        <f>РБА!G76*НВ!G$21</f>
        <v>2410.1456217</v>
      </c>
      <c r="H9" s="171">
        <f>РБА!H76*НВ!G$21</f>
        <v>541.20340529999999</v>
      </c>
      <c r="I9" s="173">
        <f>SUM(G9,H9)</f>
        <v>2951.3490270000002</v>
      </c>
    </row>
    <row r="10" spans="1:10" ht="25.5">
      <c r="A10" s="163" t="s">
        <v>103</v>
      </c>
      <c r="B10" s="174" t="s">
        <v>173</v>
      </c>
      <c r="C10" s="175" t="s">
        <v>3</v>
      </c>
      <c r="D10" s="127">
        <f>SUM(D11,D61)</f>
        <v>64808.771534527783</v>
      </c>
      <c r="E10" s="127">
        <f>SUM(E11,E61)</f>
        <v>2319.8008599999998</v>
      </c>
      <c r="F10" s="166">
        <f>SUM(D10:E10)</f>
        <v>67128.572394527786</v>
      </c>
      <c r="G10" s="127">
        <f>SUM(G11,G61)</f>
        <v>93562.766805237712</v>
      </c>
      <c r="H10" s="127">
        <f>SUM(H11,H61)</f>
        <v>2713.8355582599593</v>
      </c>
      <c r="I10" s="167">
        <f t="shared" ref="I10:I27" si="0">SUM(G10:H10)</f>
        <v>96276.602363497674</v>
      </c>
    </row>
    <row r="11" spans="1:10">
      <c r="A11" s="176" t="s">
        <v>144</v>
      </c>
      <c r="B11" s="177" t="s">
        <v>169</v>
      </c>
      <c r="C11" s="178" t="s">
        <v>3</v>
      </c>
      <c r="D11" s="127">
        <f>SUM(D13,D18,D23:D24,D27,-D59,-D60)</f>
        <v>18690.932839999998</v>
      </c>
      <c r="E11" s="127">
        <f>SUM(E13,E18,E23:E24,E27,-E59,-E60)</f>
        <v>2037.02367</v>
      </c>
      <c r="F11" s="127">
        <f t="shared" ref="F11:F27" si="1">SUM(D11:E11)</f>
        <v>20727.956509999996</v>
      </c>
      <c r="G11" s="127">
        <f>SUM(G13,G18,G23:G24,G27,-G59,-G60)</f>
        <v>22105.502571586636</v>
      </c>
      <c r="H11" s="127">
        <f>SUM(H13,H18,H23:H24,H27,-H59,-H60)</f>
        <v>2402.7806492599593</v>
      </c>
      <c r="I11" s="179">
        <f t="shared" si="0"/>
        <v>24508.283220846595</v>
      </c>
      <c r="J11" s="690">
        <f>(I10-I13)/8</f>
        <v>11346.324228979709</v>
      </c>
    </row>
    <row r="12" spans="1:10">
      <c r="A12" s="176" t="s">
        <v>145</v>
      </c>
      <c r="B12" s="180" t="s">
        <v>438</v>
      </c>
      <c r="C12" s="178" t="s">
        <v>3</v>
      </c>
      <c r="D12" s="127">
        <f>SUM(D11,-D13)</f>
        <v>14697.034569999998</v>
      </c>
      <c r="E12" s="127">
        <f>SUM(E11,-E13)</f>
        <v>1041.5282400000001</v>
      </c>
      <c r="F12" s="127">
        <f t="shared" si="1"/>
        <v>15738.562809999998</v>
      </c>
      <c r="G12" s="127">
        <f>SUM(G11,-G13)</f>
        <v>17700.695746258636</v>
      </c>
      <c r="H12" s="127">
        <f>SUM(H11,-H13)</f>
        <v>1301.5789429279591</v>
      </c>
      <c r="I12" s="179">
        <f t="shared" si="0"/>
        <v>19002.274689186594</v>
      </c>
    </row>
    <row r="13" spans="1:10">
      <c r="A13" s="181">
        <v>1</v>
      </c>
      <c r="B13" s="182" t="s">
        <v>4</v>
      </c>
      <c r="C13" s="183" t="s">
        <v>3</v>
      </c>
      <c r="D13" s="109">
        <f>SUM(D14:D15,D17)</f>
        <v>3993.8982700000001</v>
      </c>
      <c r="E13" s="109">
        <f>SUM(E14:E15,E17)</f>
        <v>995.49543000000006</v>
      </c>
      <c r="F13" s="109">
        <f t="shared" si="1"/>
        <v>4989.3937000000005</v>
      </c>
      <c r="G13" s="109">
        <f>SUM(G14:G15,G17)</f>
        <v>4404.8068253279998</v>
      </c>
      <c r="H13" s="109">
        <f>SUM(H14:H15,H17)</f>
        <v>1101.2017063320002</v>
      </c>
      <c r="I13" s="184">
        <f t="shared" si="0"/>
        <v>5506.0085316599998</v>
      </c>
    </row>
    <row r="14" spans="1:10">
      <c r="A14" s="185" t="s">
        <v>255</v>
      </c>
      <c r="B14" s="117" t="s">
        <v>170</v>
      </c>
      <c r="C14" s="183" t="s">
        <v>3</v>
      </c>
      <c r="D14" s="54">
        <v>3794.2033565000002</v>
      </c>
      <c r="E14" s="67"/>
      <c r="F14" s="118">
        <f t="shared" si="1"/>
        <v>3794.2033565000002</v>
      </c>
      <c r="G14" s="54">
        <v>4184.5664840616</v>
      </c>
      <c r="H14" s="67"/>
      <c r="I14" s="186">
        <f t="shared" si="0"/>
        <v>4184.5664840616</v>
      </c>
    </row>
    <row r="15" spans="1:10">
      <c r="A15" s="185" t="s">
        <v>256</v>
      </c>
      <c r="B15" s="117" t="s">
        <v>435</v>
      </c>
      <c r="C15" s="183" t="s">
        <v>3</v>
      </c>
      <c r="D15" s="54">
        <v>39.938982700000011</v>
      </c>
      <c r="E15" s="9">
        <v>995.49543000000006</v>
      </c>
      <c r="F15" s="118">
        <f t="shared" si="1"/>
        <v>1035.4344127000002</v>
      </c>
      <c r="G15" s="54">
        <v>44.048068253280007</v>
      </c>
      <c r="H15" s="9">
        <v>1101.2017063320002</v>
      </c>
      <c r="I15" s="186">
        <f t="shared" si="0"/>
        <v>1145.2497745852802</v>
      </c>
    </row>
    <row r="16" spans="1:10">
      <c r="A16" s="185"/>
      <c r="B16" s="117" t="s">
        <v>437</v>
      </c>
      <c r="C16" s="183" t="s">
        <v>3</v>
      </c>
      <c r="D16" s="54"/>
      <c r="E16" s="67"/>
      <c r="F16" s="118"/>
      <c r="G16" s="54"/>
      <c r="H16" s="67"/>
      <c r="I16" s="186"/>
    </row>
    <row r="17" spans="1:9">
      <c r="A17" s="185" t="s">
        <v>257</v>
      </c>
      <c r="B17" s="117" t="s">
        <v>127</v>
      </c>
      <c r="C17" s="183" t="s">
        <v>3</v>
      </c>
      <c r="D17" s="54">
        <v>159.75593080000004</v>
      </c>
      <c r="E17" s="67"/>
      <c r="F17" s="118">
        <f t="shared" si="1"/>
        <v>159.75593080000004</v>
      </c>
      <c r="G17" s="54">
        <v>176.19227301312003</v>
      </c>
      <c r="H17" s="67"/>
      <c r="I17" s="186">
        <f t="shared" si="0"/>
        <v>176.19227301312003</v>
      </c>
    </row>
    <row r="18" spans="1:9">
      <c r="A18" s="181">
        <v>2</v>
      </c>
      <c r="B18" s="182" t="s">
        <v>172</v>
      </c>
      <c r="C18" s="183" t="s">
        <v>3</v>
      </c>
      <c r="D18" s="109">
        <f>SUM(D19:D20,D22)</f>
        <v>3382.181</v>
      </c>
      <c r="E18" s="109">
        <f>SUM(E19:E20,E22)</f>
        <v>138.56899999999999</v>
      </c>
      <c r="F18" s="109">
        <f t="shared" si="1"/>
        <v>3520.75</v>
      </c>
      <c r="G18" s="109">
        <f>SUM(G19:G20,G22)</f>
        <v>4912.1473594500003</v>
      </c>
      <c r="H18" s="109">
        <f>SUM(H19:H20,H22)</f>
        <v>248.25464054999998</v>
      </c>
      <c r="I18" s="184">
        <f t="shared" si="0"/>
        <v>5160.402</v>
      </c>
    </row>
    <row r="19" spans="1:9">
      <c r="A19" s="187" t="s">
        <v>271</v>
      </c>
      <c r="B19" s="118" t="s">
        <v>171</v>
      </c>
      <c r="C19" s="183" t="s">
        <v>3</v>
      </c>
      <c r="D19" s="54">
        <v>3074.1345200000001</v>
      </c>
      <c r="E19" s="67"/>
      <c r="F19" s="118">
        <f t="shared" si="1"/>
        <v>3074.1345200000001</v>
      </c>
      <c r="G19" s="54">
        <v>4431.5020539000006</v>
      </c>
      <c r="H19" s="67"/>
      <c r="I19" s="186">
        <f t="shared" si="0"/>
        <v>4431.5020539000006</v>
      </c>
    </row>
    <row r="20" spans="1:9">
      <c r="A20" s="187" t="s">
        <v>272</v>
      </c>
      <c r="B20" s="117" t="s">
        <v>435</v>
      </c>
      <c r="C20" s="183" t="s">
        <v>3</v>
      </c>
      <c r="D20" s="54"/>
      <c r="E20" s="9">
        <v>138.56899999999999</v>
      </c>
      <c r="F20" s="118">
        <f t="shared" si="1"/>
        <v>138.56899999999999</v>
      </c>
      <c r="G20" s="54"/>
      <c r="H20" s="9">
        <v>248.25464054999998</v>
      </c>
      <c r="I20" s="186">
        <f t="shared" si="0"/>
        <v>248.25464054999998</v>
      </c>
    </row>
    <row r="21" spans="1:9">
      <c r="A21" s="187"/>
      <c r="B21" s="117" t="s">
        <v>436</v>
      </c>
      <c r="C21" s="183"/>
      <c r="D21" s="54"/>
      <c r="E21" s="67"/>
      <c r="F21" s="118"/>
      <c r="G21" s="668"/>
      <c r="H21" s="67"/>
      <c r="I21" s="186"/>
    </row>
    <row r="22" spans="1:9">
      <c r="A22" s="187" t="s">
        <v>275</v>
      </c>
      <c r="B22" s="117" t="s">
        <v>127</v>
      </c>
      <c r="C22" s="183" t="s">
        <v>3</v>
      </c>
      <c r="D22" s="54">
        <v>308.04647999999997</v>
      </c>
      <c r="E22" s="67"/>
      <c r="F22" s="118">
        <f t="shared" si="1"/>
        <v>308.04647999999997</v>
      </c>
      <c r="G22" s="54">
        <v>480.64530554999965</v>
      </c>
      <c r="H22" s="67"/>
      <c r="I22" s="186">
        <f t="shared" si="0"/>
        <v>480.64530554999965</v>
      </c>
    </row>
    <row r="23" spans="1:9">
      <c r="A23" s="181">
        <v>3</v>
      </c>
      <c r="B23" s="182" t="s">
        <v>119</v>
      </c>
      <c r="C23" s="183" t="s">
        <v>3</v>
      </c>
      <c r="D23" s="54">
        <v>5210.5645699999986</v>
      </c>
      <c r="E23" s="9">
        <v>672.27206000000001</v>
      </c>
      <c r="F23" s="109">
        <f t="shared" si="1"/>
        <v>5882.8366299999989</v>
      </c>
      <c r="G23" s="54">
        <v>5851.9532820703498</v>
      </c>
      <c r="H23" s="9">
        <v>760.42330783964996</v>
      </c>
      <c r="I23" s="184">
        <f t="shared" si="0"/>
        <v>6612.3765899099999</v>
      </c>
    </row>
    <row r="24" spans="1:9" ht="25.5" customHeight="1">
      <c r="A24" s="181">
        <v>4</v>
      </c>
      <c r="B24" s="188" t="s">
        <v>310</v>
      </c>
      <c r="C24" s="183" t="s">
        <v>3</v>
      </c>
      <c r="D24" s="117">
        <f>SUM(D25:D26)</f>
        <v>1368.6398300000001</v>
      </c>
      <c r="E24" s="189">
        <f>SUM(E25:E26)</f>
        <v>138.63955999999999</v>
      </c>
      <c r="F24" s="109">
        <f t="shared" si="1"/>
        <v>1507.2793900000001</v>
      </c>
      <c r="G24" s="117">
        <f>SUM(G25:G26)</f>
        <v>1521.50785333829</v>
      </c>
      <c r="H24" s="189">
        <f>SUM(H25:H26)</f>
        <v>197.710060038309</v>
      </c>
      <c r="I24" s="184">
        <f t="shared" si="0"/>
        <v>1719.217913376599</v>
      </c>
    </row>
    <row r="25" spans="1:9">
      <c r="A25" s="185" t="s">
        <v>251</v>
      </c>
      <c r="B25" s="190" t="s">
        <v>283</v>
      </c>
      <c r="C25" s="183" t="s">
        <v>3</v>
      </c>
      <c r="D25" s="54">
        <v>1360.4968000000001</v>
      </c>
      <c r="E25" s="9">
        <v>138.63955999999999</v>
      </c>
      <c r="F25" s="109">
        <f t="shared" si="1"/>
        <v>1499.1363600000002</v>
      </c>
      <c r="G25" s="54">
        <v>1513.50785333829</v>
      </c>
      <c r="H25" s="54">
        <v>197.710060038309</v>
      </c>
      <c r="I25" s="184">
        <f t="shared" si="0"/>
        <v>1711.217913376599</v>
      </c>
    </row>
    <row r="26" spans="1:9">
      <c r="A26" s="185" t="s">
        <v>252</v>
      </c>
      <c r="B26" s="190" t="s">
        <v>284</v>
      </c>
      <c r="C26" s="183" t="s">
        <v>3</v>
      </c>
      <c r="D26" s="54">
        <v>8.1430299999999995</v>
      </c>
      <c r="E26" s="9"/>
      <c r="F26" s="109">
        <f t="shared" si="1"/>
        <v>8.1430299999999995</v>
      </c>
      <c r="G26" s="54">
        <v>8</v>
      </c>
      <c r="H26" s="667"/>
      <c r="I26" s="184">
        <f t="shared" si="0"/>
        <v>8</v>
      </c>
    </row>
    <row r="27" spans="1:9" ht="25.5">
      <c r="A27" s="181">
        <v>5</v>
      </c>
      <c r="B27" s="182" t="s">
        <v>729</v>
      </c>
      <c r="C27" s="183" t="s">
        <v>3</v>
      </c>
      <c r="D27" s="118">
        <f>SUM(D28:D57)</f>
        <v>4735.6491699999988</v>
      </c>
      <c r="E27" s="191">
        <f>SUM(E28:E57)</f>
        <v>350.26517999999999</v>
      </c>
      <c r="F27" s="109">
        <f t="shared" si="1"/>
        <v>5085.9143499999991</v>
      </c>
      <c r="G27" s="118">
        <f>SUM(G28:G57)</f>
        <v>5415.0872513999984</v>
      </c>
      <c r="H27" s="191">
        <f>SUM(H28:H57)</f>
        <v>405.05200650000006</v>
      </c>
      <c r="I27" s="184">
        <f t="shared" si="0"/>
        <v>5820.1392578999985</v>
      </c>
    </row>
    <row r="28" spans="1:9">
      <c r="A28" s="185" t="s">
        <v>262</v>
      </c>
      <c r="B28" s="190" t="s">
        <v>104</v>
      </c>
      <c r="C28" s="183" t="s">
        <v>3</v>
      </c>
      <c r="D28" s="54">
        <v>161.61265</v>
      </c>
      <c r="E28" s="9">
        <v>0</v>
      </c>
      <c r="F28" s="118">
        <f t="shared" ref="F28:F78" si="2">SUM(D28:E28)</f>
        <v>161.61265</v>
      </c>
      <c r="G28" s="54">
        <v>177.77391500000002</v>
      </c>
      <c r="H28" s="9"/>
      <c r="I28" s="186">
        <f t="shared" ref="I28:I51" si="3">SUM(G28:H28)</f>
        <v>177.77391500000002</v>
      </c>
    </row>
    <row r="29" spans="1:9">
      <c r="A29" s="185" t="s">
        <v>263</v>
      </c>
      <c r="B29" s="190" t="s">
        <v>105</v>
      </c>
      <c r="C29" s="183" t="s">
        <v>3</v>
      </c>
      <c r="D29" s="54">
        <v>16.722330000000003</v>
      </c>
      <c r="E29" s="9">
        <v>1.5545100000000001</v>
      </c>
      <c r="F29" s="118">
        <f t="shared" si="2"/>
        <v>18.276840000000004</v>
      </c>
      <c r="G29" s="54">
        <v>18.223566900000002</v>
      </c>
      <c r="H29" s="9">
        <v>1.8809571000000005</v>
      </c>
      <c r="I29" s="186">
        <f t="shared" si="3"/>
        <v>20.104524000000001</v>
      </c>
    </row>
    <row r="30" spans="1:9">
      <c r="A30" s="185" t="s">
        <v>264</v>
      </c>
      <c r="B30" s="190" t="s">
        <v>106</v>
      </c>
      <c r="C30" s="183" t="s">
        <v>3</v>
      </c>
      <c r="D30" s="54">
        <v>19.090079999999997</v>
      </c>
      <c r="E30" s="9">
        <v>0</v>
      </c>
      <c r="F30" s="118">
        <f t="shared" si="2"/>
        <v>19.090079999999997</v>
      </c>
      <c r="G30" s="54">
        <v>20.999088</v>
      </c>
      <c r="H30" s="9">
        <v>0</v>
      </c>
      <c r="I30" s="186">
        <f t="shared" si="3"/>
        <v>20.999088</v>
      </c>
    </row>
    <row r="31" spans="1:9">
      <c r="A31" s="185" t="s">
        <v>265</v>
      </c>
      <c r="B31" s="190" t="s">
        <v>107</v>
      </c>
      <c r="C31" s="183" t="s">
        <v>3</v>
      </c>
      <c r="D31" s="54">
        <v>285.66404999999992</v>
      </c>
      <c r="E31" s="9">
        <v>64.36084000000001</v>
      </c>
      <c r="F31" s="118">
        <f t="shared" si="2"/>
        <v>350.02488999999991</v>
      </c>
      <c r="G31" s="54">
        <v>307.37028959999998</v>
      </c>
      <c r="H31" s="9">
        <v>77.876616400000017</v>
      </c>
      <c r="I31" s="186">
        <f t="shared" si="3"/>
        <v>385.24690599999997</v>
      </c>
    </row>
    <row r="32" spans="1:9">
      <c r="A32" s="185" t="s">
        <v>266</v>
      </c>
      <c r="B32" s="190" t="s">
        <v>108</v>
      </c>
      <c r="C32" s="183" t="s">
        <v>3</v>
      </c>
      <c r="D32" s="54">
        <v>217.85497999999998</v>
      </c>
      <c r="E32" s="9">
        <v>0</v>
      </c>
      <c r="F32" s="118">
        <f t="shared" si="2"/>
        <v>217.85497999999998</v>
      </c>
      <c r="G32" s="54">
        <v>239.64047800000003</v>
      </c>
      <c r="H32" s="9"/>
      <c r="I32" s="186">
        <f t="shared" si="3"/>
        <v>239.64047800000003</v>
      </c>
    </row>
    <row r="33" spans="1:9">
      <c r="A33" s="185" t="s">
        <v>267</v>
      </c>
      <c r="B33" s="190" t="s">
        <v>109</v>
      </c>
      <c r="C33" s="183" t="s">
        <v>3</v>
      </c>
      <c r="D33" s="54">
        <v>175.06292999999982</v>
      </c>
      <c r="E33" s="9">
        <v>0</v>
      </c>
      <c r="F33" s="118">
        <f t="shared" si="2"/>
        <v>175.06292999999982</v>
      </c>
      <c r="G33" s="54">
        <v>192.56922299999982</v>
      </c>
      <c r="H33" s="9"/>
      <c r="I33" s="186">
        <f t="shared" si="3"/>
        <v>192.56922299999982</v>
      </c>
    </row>
    <row r="34" spans="1:9" ht="25.5">
      <c r="A34" s="185" t="s">
        <v>285</v>
      </c>
      <c r="B34" s="190" t="s">
        <v>110</v>
      </c>
      <c r="C34" s="183" t="s">
        <v>3</v>
      </c>
      <c r="D34" s="54">
        <v>21.547490000000003</v>
      </c>
      <c r="E34" s="9">
        <v>37.856349999999999</v>
      </c>
      <c r="F34" s="118">
        <f t="shared" si="2"/>
        <v>59.403840000000002</v>
      </c>
      <c r="G34" s="54">
        <v>21.620139749999986</v>
      </c>
      <c r="H34" s="9">
        <v>43.724084250000011</v>
      </c>
      <c r="I34" s="186">
        <f t="shared" si="3"/>
        <v>65.344223999999997</v>
      </c>
    </row>
    <row r="35" spans="1:9">
      <c r="A35" s="185" t="s">
        <v>286</v>
      </c>
      <c r="B35" s="190" t="s">
        <v>111</v>
      </c>
      <c r="C35" s="183" t="s">
        <v>3</v>
      </c>
      <c r="D35" s="54">
        <v>71.186839999999989</v>
      </c>
      <c r="E35" s="9">
        <v>0.9582099999999999</v>
      </c>
      <c r="F35" s="118">
        <f t="shared" si="2"/>
        <v>72.145049999999983</v>
      </c>
      <c r="G35" s="54">
        <v>77.059850999999995</v>
      </c>
      <c r="H35" s="9">
        <v>2.2997040000000002</v>
      </c>
      <c r="I35" s="186">
        <f t="shared" si="3"/>
        <v>79.359555</v>
      </c>
    </row>
    <row r="36" spans="1:9">
      <c r="A36" s="185" t="s">
        <v>287</v>
      </c>
      <c r="B36" s="190" t="s">
        <v>112</v>
      </c>
      <c r="C36" s="183" t="s">
        <v>3</v>
      </c>
      <c r="D36" s="54">
        <v>184.46879000000001</v>
      </c>
      <c r="E36" s="9">
        <v>0</v>
      </c>
      <c r="F36" s="118">
        <f t="shared" si="2"/>
        <v>184.46879000000001</v>
      </c>
      <c r="G36" s="54">
        <v>202.91566900000004</v>
      </c>
      <c r="H36" s="9"/>
      <c r="I36" s="186">
        <f t="shared" si="3"/>
        <v>202.91566900000004</v>
      </c>
    </row>
    <row r="37" spans="1:9">
      <c r="A37" s="185" t="s">
        <v>303</v>
      </c>
      <c r="B37" s="190" t="s">
        <v>113</v>
      </c>
      <c r="C37" s="183" t="s">
        <v>3</v>
      </c>
      <c r="D37" s="54">
        <v>0</v>
      </c>
      <c r="E37" s="9">
        <v>0</v>
      </c>
      <c r="F37" s="118">
        <f t="shared" si="2"/>
        <v>0</v>
      </c>
      <c r="G37" s="54">
        <v>0</v>
      </c>
      <c r="H37" s="9"/>
      <c r="I37" s="186">
        <f t="shared" si="3"/>
        <v>0</v>
      </c>
    </row>
    <row r="38" spans="1:9">
      <c r="A38" s="185" t="s">
        <v>288</v>
      </c>
      <c r="B38" s="190" t="s">
        <v>114</v>
      </c>
      <c r="C38" s="183" t="s">
        <v>3</v>
      </c>
      <c r="D38" s="54">
        <v>115.14657</v>
      </c>
      <c r="E38" s="9">
        <v>0</v>
      </c>
      <c r="F38" s="118">
        <f t="shared" si="2"/>
        <v>115.14657</v>
      </c>
      <c r="G38" s="54">
        <v>127.13154300000002</v>
      </c>
      <c r="H38" s="9"/>
      <c r="I38" s="186">
        <f t="shared" si="3"/>
        <v>127.13154300000002</v>
      </c>
    </row>
    <row r="39" spans="1:9">
      <c r="A39" s="185" t="s">
        <v>289</v>
      </c>
      <c r="B39" s="190" t="s">
        <v>115</v>
      </c>
      <c r="C39" s="183" t="s">
        <v>3</v>
      </c>
      <c r="D39" s="54">
        <v>14.045729999999999</v>
      </c>
      <c r="E39" s="9">
        <v>0</v>
      </c>
      <c r="F39" s="118">
        <f t="shared" si="2"/>
        <v>14.045729999999999</v>
      </c>
      <c r="G39" s="54">
        <v>15.450303</v>
      </c>
      <c r="H39" s="9">
        <v>0</v>
      </c>
      <c r="I39" s="186">
        <f t="shared" si="3"/>
        <v>15.450303</v>
      </c>
    </row>
    <row r="40" spans="1:9">
      <c r="A40" s="185" t="s">
        <v>290</v>
      </c>
      <c r="B40" s="190" t="s">
        <v>116</v>
      </c>
      <c r="C40" s="183" t="s">
        <v>3</v>
      </c>
      <c r="D40" s="54">
        <v>156.12148999999999</v>
      </c>
      <c r="E40" s="9">
        <v>0</v>
      </c>
      <c r="F40" s="118">
        <f t="shared" si="2"/>
        <v>156.12148999999999</v>
      </c>
      <c r="G40" s="54">
        <v>171.01863900000001</v>
      </c>
      <c r="H40" s="678">
        <v>0</v>
      </c>
      <c r="I40" s="186">
        <f t="shared" si="3"/>
        <v>171.01863900000001</v>
      </c>
    </row>
    <row r="41" spans="1:9">
      <c r="A41" s="185" t="s">
        <v>291</v>
      </c>
      <c r="B41" s="190" t="s">
        <v>118</v>
      </c>
      <c r="C41" s="183" t="s">
        <v>3</v>
      </c>
      <c r="D41" s="54">
        <v>59.471839999999993</v>
      </c>
      <c r="E41" s="9">
        <v>10.88575</v>
      </c>
      <c r="F41" s="118">
        <f t="shared" si="2"/>
        <v>70.357589999999988</v>
      </c>
      <c r="G41" s="54">
        <v>64.820307750000012</v>
      </c>
      <c r="H41" s="9">
        <v>12.573041250000003</v>
      </c>
      <c r="I41" s="186">
        <f t="shared" si="3"/>
        <v>77.393349000000015</v>
      </c>
    </row>
    <row r="42" spans="1:9" ht="25.5">
      <c r="A42" s="185" t="s">
        <v>292</v>
      </c>
      <c r="B42" s="190" t="s">
        <v>120</v>
      </c>
      <c r="C42" s="183" t="s">
        <v>3</v>
      </c>
      <c r="D42" s="54">
        <v>351.95696000000004</v>
      </c>
      <c r="E42" s="9">
        <v>53.7545</v>
      </c>
      <c r="F42" s="117">
        <f t="shared" ref="F42:F51" si="4">SUM(D42:E42)</f>
        <v>405.71146000000005</v>
      </c>
      <c r="G42" s="54">
        <v>340.81146000000001</v>
      </c>
      <c r="H42" s="679">
        <v>64.900000000000006</v>
      </c>
      <c r="I42" s="511">
        <f t="shared" si="3"/>
        <v>405.71145999999999</v>
      </c>
    </row>
    <row r="43" spans="1:9">
      <c r="A43" s="185" t="s">
        <v>293</v>
      </c>
      <c r="B43" s="190" t="s">
        <v>121</v>
      </c>
      <c r="C43" s="183" t="s">
        <v>3</v>
      </c>
      <c r="D43" s="54">
        <v>119.49424000000002</v>
      </c>
      <c r="E43" s="9">
        <v>2.9731300000000003</v>
      </c>
      <c r="F43" s="117">
        <f t="shared" si="4"/>
        <v>122.46737000000002</v>
      </c>
      <c r="G43" s="54">
        <v>128.91650350000003</v>
      </c>
      <c r="H43" s="680">
        <v>5.797603500000001</v>
      </c>
      <c r="I43" s="511">
        <f t="shared" si="3"/>
        <v>134.71410700000004</v>
      </c>
    </row>
    <row r="44" spans="1:9">
      <c r="A44" s="185" t="s">
        <v>294</v>
      </c>
      <c r="B44" s="190" t="s">
        <v>122</v>
      </c>
      <c r="C44" s="183" t="s">
        <v>3</v>
      </c>
      <c r="D44" s="54">
        <v>105.48454999999998</v>
      </c>
      <c r="E44" s="9">
        <v>0</v>
      </c>
      <c r="F44" s="117">
        <f t="shared" si="4"/>
        <v>105.48454999999998</v>
      </c>
      <c r="G44" s="54">
        <v>116.03300499999999</v>
      </c>
      <c r="H44" s="680"/>
      <c r="I44" s="511">
        <f t="shared" si="3"/>
        <v>116.03300499999999</v>
      </c>
    </row>
    <row r="45" spans="1:9">
      <c r="A45" s="185" t="s">
        <v>295</v>
      </c>
      <c r="B45" s="190" t="s">
        <v>123</v>
      </c>
      <c r="C45" s="183" t="s">
        <v>3</v>
      </c>
      <c r="D45" s="54">
        <v>17.68019</v>
      </c>
      <c r="E45" s="9">
        <v>0.1</v>
      </c>
      <c r="F45" s="117">
        <f t="shared" si="4"/>
        <v>17.780190000000001</v>
      </c>
      <c r="G45" s="54">
        <v>19.558208999999998</v>
      </c>
      <c r="H45" s="680"/>
      <c r="I45" s="511">
        <f t="shared" si="3"/>
        <v>19.558208999999998</v>
      </c>
    </row>
    <row r="46" spans="1:9">
      <c r="A46" s="185" t="s">
        <v>296</v>
      </c>
      <c r="B46" s="192" t="s">
        <v>124</v>
      </c>
      <c r="C46" s="183" t="s">
        <v>3</v>
      </c>
      <c r="D46" s="54">
        <v>0</v>
      </c>
      <c r="E46" s="9">
        <v>0</v>
      </c>
      <c r="F46" s="117">
        <f t="shared" si="4"/>
        <v>0</v>
      </c>
      <c r="G46" s="54">
        <v>0</v>
      </c>
      <c r="H46" s="9"/>
      <c r="I46" s="511">
        <f t="shared" si="3"/>
        <v>0</v>
      </c>
    </row>
    <row r="47" spans="1:9">
      <c r="A47" s="185" t="s">
        <v>297</v>
      </c>
      <c r="B47" s="192" t="s">
        <v>125</v>
      </c>
      <c r="C47" s="183" t="s">
        <v>3</v>
      </c>
      <c r="D47" s="54">
        <v>61.664850000000001</v>
      </c>
      <c r="E47" s="9">
        <v>0</v>
      </c>
      <c r="F47" s="117">
        <f t="shared" si="4"/>
        <v>61.664850000000001</v>
      </c>
      <c r="G47" s="54">
        <v>67.83133500000001</v>
      </c>
      <c r="H47" s="9"/>
      <c r="I47" s="511">
        <f t="shared" si="3"/>
        <v>67.83133500000001</v>
      </c>
    </row>
    <row r="48" spans="1:9">
      <c r="A48" s="185" t="s">
        <v>298</v>
      </c>
      <c r="B48" s="192" t="s">
        <v>126</v>
      </c>
      <c r="C48" s="183" t="s">
        <v>3</v>
      </c>
      <c r="D48" s="54">
        <v>0</v>
      </c>
      <c r="E48" s="9">
        <v>0</v>
      </c>
      <c r="F48" s="117">
        <f t="shared" si="4"/>
        <v>0</v>
      </c>
      <c r="G48" s="54">
        <v>0</v>
      </c>
      <c r="H48" s="9"/>
      <c r="I48" s="511">
        <f t="shared" si="3"/>
        <v>0</v>
      </c>
    </row>
    <row r="49" spans="1:9">
      <c r="A49" s="185" t="s">
        <v>299</v>
      </c>
      <c r="B49" s="193" t="s">
        <v>314</v>
      </c>
      <c r="C49" s="183" t="s">
        <v>3</v>
      </c>
      <c r="D49" s="54">
        <v>58.016839999999995</v>
      </c>
      <c r="E49" s="9">
        <v>0</v>
      </c>
      <c r="F49" s="117">
        <f t="shared" si="4"/>
        <v>58.016839999999995</v>
      </c>
      <c r="G49" s="54">
        <v>63.818523999999996</v>
      </c>
      <c r="H49" s="9"/>
      <c r="I49" s="511">
        <f t="shared" si="3"/>
        <v>63.818523999999996</v>
      </c>
    </row>
    <row r="50" spans="1:9">
      <c r="A50" s="185" t="s">
        <v>300</v>
      </c>
      <c r="B50" s="194" t="s">
        <v>117</v>
      </c>
      <c r="C50" s="183" t="s">
        <v>3</v>
      </c>
      <c r="D50" s="54">
        <v>54.340040000000002</v>
      </c>
      <c r="E50" s="9">
        <v>0</v>
      </c>
      <c r="F50" s="118">
        <f t="shared" si="4"/>
        <v>54.340040000000002</v>
      </c>
      <c r="G50" s="54">
        <v>59.774044000000004</v>
      </c>
      <c r="H50" s="678"/>
      <c r="I50" s="186">
        <f t="shared" si="3"/>
        <v>59.774044000000004</v>
      </c>
    </row>
    <row r="51" spans="1:9">
      <c r="A51" s="185" t="s">
        <v>301</v>
      </c>
      <c r="B51" s="194" t="s">
        <v>763</v>
      </c>
      <c r="C51" s="183" t="s">
        <v>3</v>
      </c>
      <c r="D51" s="54">
        <v>0</v>
      </c>
      <c r="E51" s="9">
        <v>177.82189000000002</v>
      </c>
      <c r="F51" s="117">
        <f t="shared" si="4"/>
        <v>177.82189000000002</v>
      </c>
      <c r="G51" s="54">
        <v>-0.39592099999995867</v>
      </c>
      <c r="H51" s="9">
        <v>196</v>
      </c>
      <c r="I51" s="511">
        <f t="shared" si="3"/>
        <v>195.60407900000004</v>
      </c>
    </row>
    <row r="52" spans="1:9">
      <c r="A52" s="185" t="s">
        <v>302</v>
      </c>
      <c r="B52" s="195" t="s">
        <v>764</v>
      </c>
      <c r="C52" s="183"/>
      <c r="D52" s="54">
        <v>0</v>
      </c>
      <c r="E52" s="9">
        <v>0</v>
      </c>
      <c r="F52" s="117"/>
      <c r="G52" s="54">
        <v>0</v>
      </c>
      <c r="H52" s="667"/>
      <c r="I52" s="511"/>
    </row>
    <row r="53" spans="1:9">
      <c r="A53" s="185" t="s">
        <v>304</v>
      </c>
      <c r="B53" s="195" t="s">
        <v>765</v>
      </c>
      <c r="C53" s="183"/>
      <c r="D53" s="54">
        <v>2419.1900499999997</v>
      </c>
      <c r="E53" s="9">
        <v>0</v>
      </c>
      <c r="F53" s="117"/>
      <c r="G53" s="54">
        <v>2927.3388308999997</v>
      </c>
      <c r="H53" s="667"/>
      <c r="I53" s="511"/>
    </row>
    <row r="54" spans="1:9">
      <c r="A54" s="185" t="s">
        <v>305</v>
      </c>
      <c r="B54" s="195" t="s">
        <v>766</v>
      </c>
      <c r="C54" s="183"/>
      <c r="D54" s="54">
        <v>10.164999999999999</v>
      </c>
      <c r="E54" s="9">
        <v>0</v>
      </c>
      <c r="F54" s="117"/>
      <c r="G54" s="54">
        <v>11.1815</v>
      </c>
      <c r="H54" s="667"/>
      <c r="I54" s="511"/>
    </row>
    <row r="55" spans="1:9">
      <c r="A55" s="185" t="s">
        <v>306</v>
      </c>
      <c r="B55" s="195" t="s">
        <v>767</v>
      </c>
      <c r="C55" s="183"/>
      <c r="D55" s="54">
        <v>39.660679999999999</v>
      </c>
      <c r="E55" s="9">
        <v>0</v>
      </c>
      <c r="F55" s="117"/>
      <c r="G55" s="54">
        <v>43.626747999999999</v>
      </c>
      <c r="H55" s="667"/>
      <c r="I55" s="511"/>
    </row>
    <row r="56" spans="1:9">
      <c r="A56" s="185" t="s">
        <v>307</v>
      </c>
      <c r="B56" s="195"/>
      <c r="C56" s="183"/>
      <c r="D56" s="54"/>
      <c r="E56" s="9"/>
      <c r="F56" s="117"/>
      <c r="G56" s="54"/>
      <c r="H56" s="667"/>
      <c r="I56" s="511"/>
    </row>
    <row r="57" spans="1:9">
      <c r="A57" s="185" t="s">
        <v>308</v>
      </c>
      <c r="B57" s="195"/>
      <c r="C57" s="183"/>
      <c r="D57" s="54"/>
      <c r="E57" s="9"/>
      <c r="F57" s="117"/>
      <c r="G57" s="54"/>
      <c r="H57" s="667"/>
      <c r="I57" s="511"/>
    </row>
    <row r="58" spans="1:9" ht="25.5">
      <c r="A58" s="181">
        <v>8</v>
      </c>
      <c r="B58" s="196" t="s">
        <v>95</v>
      </c>
      <c r="C58" s="183" t="s">
        <v>96</v>
      </c>
      <c r="D58" s="54"/>
      <c r="E58" s="9"/>
      <c r="F58" s="117">
        <f t="shared" si="2"/>
        <v>0</v>
      </c>
      <c r="G58" s="54"/>
      <c r="H58" s="667"/>
      <c r="I58" s="511">
        <f t="shared" ref="I58:I68" si="5">SUM(G58:H58)</f>
        <v>0</v>
      </c>
    </row>
    <row r="59" spans="1:9">
      <c r="A59" s="181">
        <v>9</v>
      </c>
      <c r="B59" s="197" t="s">
        <v>88</v>
      </c>
      <c r="C59" s="183" t="s">
        <v>3</v>
      </c>
      <c r="D59" s="54"/>
      <c r="E59" s="9">
        <v>258.21755999999999</v>
      </c>
      <c r="F59" s="117">
        <f t="shared" si="2"/>
        <v>258.21755999999999</v>
      </c>
      <c r="G59" s="54"/>
      <c r="H59" s="9">
        <f>E59*1.2</f>
        <v>309.86107199999998</v>
      </c>
      <c r="I59" s="511">
        <f t="shared" si="5"/>
        <v>309.86107199999998</v>
      </c>
    </row>
    <row r="60" spans="1:9">
      <c r="A60" s="181">
        <v>10</v>
      </c>
      <c r="B60" s="197" t="s">
        <v>99</v>
      </c>
      <c r="C60" s="183" t="s">
        <v>3</v>
      </c>
      <c r="D60" s="54"/>
      <c r="E60" s="9"/>
      <c r="F60" s="117">
        <f t="shared" si="2"/>
        <v>0</v>
      </c>
      <c r="G60" s="54"/>
      <c r="H60" s="667"/>
      <c r="I60" s="511">
        <f t="shared" si="5"/>
        <v>0</v>
      </c>
    </row>
    <row r="61" spans="1:9" s="199" customFormat="1">
      <c r="A61" s="163" t="s">
        <v>145</v>
      </c>
      <c r="B61" s="198" t="s">
        <v>8</v>
      </c>
      <c r="C61" s="178" t="s">
        <v>3</v>
      </c>
      <c r="D61" s="166">
        <f>SUM(D62,D78:D79,D82,D85)</f>
        <v>46117.838694527789</v>
      </c>
      <c r="E61" s="166">
        <f>SUM(E62,E78:E85)</f>
        <v>282.77718999999996</v>
      </c>
      <c r="F61" s="166">
        <f t="shared" si="2"/>
        <v>46400.61588452779</v>
      </c>
      <c r="G61" s="166">
        <f>SUM(G62,G78:G79,G82,G85)</f>
        <v>71457.264233651076</v>
      </c>
      <c r="H61" s="166">
        <f>SUM(H62,H78:H85)</f>
        <v>311.05490900000001</v>
      </c>
      <c r="I61" s="167">
        <f t="shared" si="5"/>
        <v>71768.319142651075</v>
      </c>
    </row>
    <row r="62" spans="1:9">
      <c r="A62" s="200">
        <v>1</v>
      </c>
      <c r="B62" s="201" t="s">
        <v>434</v>
      </c>
      <c r="C62" s="191" t="s">
        <v>3</v>
      </c>
      <c r="D62" s="117">
        <f>SUM(D63,D69,D75:D77)</f>
        <v>39772.779490000001</v>
      </c>
      <c r="E62" s="117">
        <f>SUM(E63,E69,E75:E77)</f>
        <v>282.77718999999996</v>
      </c>
      <c r="F62" s="117">
        <f>SUM(D62:E62)</f>
        <v>40055.556680000002</v>
      </c>
      <c r="G62" s="117">
        <f>SUM(G63,G69,G75:G77)</f>
        <v>54797.639387999989</v>
      </c>
      <c r="H62" s="117">
        <f>SUM(H63,H69,H75:H77)</f>
        <v>311.05490900000001</v>
      </c>
      <c r="I62" s="511">
        <f t="shared" si="5"/>
        <v>55108.694296999987</v>
      </c>
    </row>
    <row r="63" spans="1:9" s="204" customFormat="1" ht="25.5">
      <c r="A63" s="202" t="s">
        <v>83</v>
      </c>
      <c r="B63" s="203" t="s">
        <v>526</v>
      </c>
      <c r="C63" s="191" t="s">
        <v>3</v>
      </c>
      <c r="D63" s="118">
        <f>SUM(D64:D68)</f>
        <v>38934.300000000003</v>
      </c>
      <c r="E63" s="118"/>
      <c r="F63" s="118">
        <f t="shared" si="2"/>
        <v>38934.300000000003</v>
      </c>
      <c r="G63" s="118">
        <f>SUM(G64:G68)</f>
        <v>53791.463999999993</v>
      </c>
      <c r="H63" s="118"/>
      <c r="I63" s="186">
        <f t="shared" si="5"/>
        <v>53791.463999999993</v>
      </c>
    </row>
    <row r="64" spans="1:9">
      <c r="A64" s="202" t="s">
        <v>319</v>
      </c>
      <c r="B64" s="205" t="s">
        <v>9</v>
      </c>
      <c r="C64" s="191" t="s">
        <v>3</v>
      </c>
      <c r="D64" s="118">
        <f>ROUND('ТИП-ПРОИЗ'!E33*'ТИП-ПРОИЗ'!E86/1000,3)</f>
        <v>437.95</v>
      </c>
      <c r="E64" s="118"/>
      <c r="F64" s="118">
        <f t="shared" si="2"/>
        <v>437.95</v>
      </c>
      <c r="G64" s="118">
        <f>ROUND('ТИП-ПРОИЗ'!F33*'ТИП-ПРОИЗ'!F86/1000,3)</f>
        <v>10153.771000000001</v>
      </c>
      <c r="H64" s="118"/>
      <c r="I64" s="186">
        <f t="shared" si="5"/>
        <v>10153.771000000001</v>
      </c>
    </row>
    <row r="65" spans="1:9">
      <c r="A65" s="202" t="s">
        <v>320</v>
      </c>
      <c r="B65" s="205" t="s">
        <v>10</v>
      </c>
      <c r="C65" s="191" t="s">
        <v>3</v>
      </c>
      <c r="D65" s="118">
        <f>ROUND('ТИП-ПРОИЗ'!E34*'ТИП-ПРОИЗ'!E87/1000,3)</f>
        <v>75.233999999999995</v>
      </c>
      <c r="E65" s="118"/>
      <c r="F65" s="118">
        <f t="shared" si="2"/>
        <v>75.233999999999995</v>
      </c>
      <c r="G65" s="118">
        <f>ROUND('ТИП-ПРОИЗ'!F34*'ТИП-ПРОИЗ'!F87/1000,3)</f>
        <v>79.3</v>
      </c>
      <c r="H65" s="118"/>
      <c r="I65" s="186">
        <f t="shared" si="5"/>
        <v>79.3</v>
      </c>
    </row>
    <row r="66" spans="1:9">
      <c r="A66" s="202" t="s">
        <v>321</v>
      </c>
      <c r="B66" s="205" t="s">
        <v>12</v>
      </c>
      <c r="C66" s="191" t="s">
        <v>3</v>
      </c>
      <c r="D66" s="118">
        <f>ROUND('ТИП-ПРОИЗ'!E35*'ТИП-ПРОИЗ'!E88/1000,3)</f>
        <v>0</v>
      </c>
      <c r="E66" s="118"/>
      <c r="F66" s="118">
        <f t="shared" si="2"/>
        <v>0</v>
      </c>
      <c r="G66" s="118">
        <f>ROUND('ТИП-ПРОИЗ'!F35*'ТИП-ПРОИЗ'!F88/1000,3)</f>
        <v>0</v>
      </c>
      <c r="H66" s="118"/>
      <c r="I66" s="186">
        <f t="shared" si="5"/>
        <v>0</v>
      </c>
    </row>
    <row r="67" spans="1:9">
      <c r="A67" s="202" t="s">
        <v>322</v>
      </c>
      <c r="B67" s="205" t="s">
        <v>11</v>
      </c>
      <c r="C67" s="191" t="s">
        <v>3</v>
      </c>
      <c r="D67" s="118">
        <f>ROUND('ТИП-ПРОИЗ'!E36*'ТИП-ПРОИЗ'!E89/1000,3)</f>
        <v>26785.412</v>
      </c>
      <c r="E67" s="118"/>
      <c r="F67" s="118">
        <f t="shared" si="2"/>
        <v>26785.412</v>
      </c>
      <c r="G67" s="118">
        <f>ROUND('ТИП-ПРОИЗ'!F36*'ТИП-ПРОИЗ'!F89/1000,3)</f>
        <v>41395.392999999996</v>
      </c>
      <c r="H67" s="118"/>
      <c r="I67" s="186">
        <f t="shared" si="5"/>
        <v>41395.392999999996</v>
      </c>
    </row>
    <row r="68" spans="1:9">
      <c r="A68" s="202" t="s">
        <v>719</v>
      </c>
      <c r="B68" s="205" t="str">
        <f>'ТИП-ПРОИЗ'!B79</f>
        <v>друг вид гориво (ВЕИ)</v>
      </c>
      <c r="C68" s="191" t="s">
        <v>3</v>
      </c>
      <c r="D68" s="118">
        <f>ROUND('ТИП-ПРОИЗ'!E37*'ТИП-ПРОИЗ'!E90/1000,3)</f>
        <v>11635.704</v>
      </c>
      <c r="E68" s="118"/>
      <c r="F68" s="118">
        <f t="shared" si="2"/>
        <v>11635.704</v>
      </c>
      <c r="G68" s="118">
        <f>ROUND('ТИП-ПРОИЗ'!F37*'ТИП-ПРОИЗ'!F90/1000,3)</f>
        <v>2163</v>
      </c>
      <c r="H68" s="118"/>
      <c r="I68" s="186">
        <f t="shared" si="5"/>
        <v>2163</v>
      </c>
    </row>
    <row r="69" spans="1:9" s="204" customFormat="1" ht="25.5" customHeight="1">
      <c r="A69" s="202" t="s">
        <v>84</v>
      </c>
      <c r="B69" s="206" t="s">
        <v>525</v>
      </c>
      <c r="C69" s="191" t="s">
        <v>3</v>
      </c>
      <c r="D69" s="118">
        <f>SUM(D70:D74)</f>
        <v>0</v>
      </c>
      <c r="E69" s="118"/>
      <c r="F69" s="118">
        <f t="shared" ref="F69:F74" si="6">SUM(D69:E69)</f>
        <v>0</v>
      </c>
      <c r="G69" s="118">
        <f>SUM(G70:G74)</f>
        <v>0</v>
      </c>
      <c r="H69" s="118"/>
      <c r="I69" s="186">
        <f t="shared" ref="I69:I74" si="7">SUM(G69:H69)</f>
        <v>0</v>
      </c>
    </row>
    <row r="70" spans="1:9">
      <c r="A70" s="202" t="s">
        <v>516</v>
      </c>
      <c r="B70" s="205" t="s">
        <v>9</v>
      </c>
      <c r="C70" s="191" t="s">
        <v>3</v>
      </c>
      <c r="D70" s="118">
        <f>ROUND('ТИП-ПРОИЗ'!E50*'ТИП-ПРОИЗ'!E86/1000,3)</f>
        <v>0</v>
      </c>
      <c r="E70" s="118"/>
      <c r="F70" s="118">
        <f t="shared" si="6"/>
        <v>0</v>
      </c>
      <c r="G70" s="118">
        <f>ROUND('ТИП-ПРОИЗ'!F50*'ТИП-ПРОИЗ'!F86/1000,3)</f>
        <v>0</v>
      </c>
      <c r="H70" s="118"/>
      <c r="I70" s="186">
        <f t="shared" si="7"/>
        <v>0</v>
      </c>
    </row>
    <row r="71" spans="1:9">
      <c r="A71" s="202" t="s">
        <v>517</v>
      </c>
      <c r="B71" s="205" t="s">
        <v>10</v>
      </c>
      <c r="C71" s="191" t="s">
        <v>3</v>
      </c>
      <c r="D71" s="118">
        <f>ROUND('ТИП-ПРОИЗ'!E51*'ТИП-ПРОИЗ'!E87/1000,3)</f>
        <v>0</v>
      </c>
      <c r="E71" s="118"/>
      <c r="F71" s="118">
        <f t="shared" si="6"/>
        <v>0</v>
      </c>
      <c r="G71" s="118">
        <f>ROUND('ТИП-ПРОИЗ'!F51*'ТИП-ПРОИЗ'!F87/1000,3)</f>
        <v>0</v>
      </c>
      <c r="H71" s="118"/>
      <c r="I71" s="186">
        <f t="shared" si="7"/>
        <v>0</v>
      </c>
    </row>
    <row r="72" spans="1:9">
      <c r="A72" s="202" t="s">
        <v>518</v>
      </c>
      <c r="B72" s="205" t="s">
        <v>12</v>
      </c>
      <c r="C72" s="191" t="s">
        <v>3</v>
      </c>
      <c r="D72" s="118">
        <f>ROUND('ТИП-ПРОИЗ'!E52*'ТИП-ПРОИЗ'!E88/1000,3)</f>
        <v>0</v>
      </c>
      <c r="E72" s="118"/>
      <c r="F72" s="118">
        <f t="shared" si="6"/>
        <v>0</v>
      </c>
      <c r="G72" s="118">
        <f>ROUND('ТИП-ПРОИЗ'!F52*'ТИП-ПРОИЗ'!F88/1000,3)</f>
        <v>0</v>
      </c>
      <c r="H72" s="118"/>
      <c r="I72" s="186">
        <f t="shared" si="7"/>
        <v>0</v>
      </c>
    </row>
    <row r="73" spans="1:9">
      <c r="A73" s="202" t="s">
        <v>519</v>
      </c>
      <c r="B73" s="205" t="s">
        <v>11</v>
      </c>
      <c r="C73" s="191" t="s">
        <v>3</v>
      </c>
      <c r="D73" s="118">
        <f>ROUND('ТИП-ПРОИЗ'!E53*'ТИП-ПРОИЗ'!E89/1000,3)</f>
        <v>0</v>
      </c>
      <c r="E73" s="118"/>
      <c r="F73" s="118">
        <f t="shared" si="6"/>
        <v>0</v>
      </c>
      <c r="G73" s="118">
        <f>ROUND('ТИП-ПРОИЗ'!F53*'ТИП-ПРОИЗ'!F89/1000,3)</f>
        <v>0</v>
      </c>
      <c r="H73" s="118"/>
      <c r="I73" s="186">
        <f t="shared" si="7"/>
        <v>0</v>
      </c>
    </row>
    <row r="74" spans="1:9">
      <c r="A74" s="202" t="s">
        <v>720</v>
      </c>
      <c r="B74" s="205" t="str">
        <f>'ТИП-ПРОИЗ'!B54</f>
        <v>друг вид гориво (ВЕИ)</v>
      </c>
      <c r="C74" s="191" t="s">
        <v>3</v>
      </c>
      <c r="D74" s="118">
        <f>ROUND('ТИП-ПРОИЗ'!E54*'ТИП-ПРОИЗ'!E90/1000,3)</f>
        <v>0</v>
      </c>
      <c r="E74" s="118"/>
      <c r="F74" s="118">
        <f t="shared" si="6"/>
        <v>0</v>
      </c>
      <c r="G74" s="118">
        <f>ROUND('ТИП-ПРОИЗ'!F54*'ТИП-ПРОИЗ'!F90/1000,3)</f>
        <v>0</v>
      </c>
      <c r="H74" s="118"/>
      <c r="I74" s="186">
        <f t="shared" si="7"/>
        <v>0</v>
      </c>
    </row>
    <row r="75" spans="1:9">
      <c r="A75" s="202" t="s">
        <v>101</v>
      </c>
      <c r="B75" s="207" t="s">
        <v>13</v>
      </c>
      <c r="C75" s="191" t="s">
        <v>3</v>
      </c>
      <c r="D75" s="54">
        <v>37.893430000000002</v>
      </c>
      <c r="E75" s="54"/>
      <c r="F75" s="118">
        <f t="shared" si="2"/>
        <v>37.893430000000002</v>
      </c>
      <c r="G75" s="54">
        <v>45.472116</v>
      </c>
      <c r="H75" s="54"/>
      <c r="I75" s="186">
        <f t="shared" ref="I75:I85" si="8">SUM(G75:H75)</f>
        <v>45.472116</v>
      </c>
    </row>
    <row r="76" spans="1:9">
      <c r="A76" s="202" t="s">
        <v>102</v>
      </c>
      <c r="B76" s="207" t="s">
        <v>309</v>
      </c>
      <c r="C76" s="191" t="s">
        <v>3</v>
      </c>
      <c r="D76" s="54">
        <v>592.71441000000004</v>
      </c>
      <c r="E76" s="54">
        <v>282.77718999999996</v>
      </c>
      <c r="F76" s="118">
        <f t="shared" si="2"/>
        <v>875.49160000000006</v>
      </c>
      <c r="G76" s="54">
        <v>711.25729200000001</v>
      </c>
      <c r="H76" s="54">
        <v>311.05490900000001</v>
      </c>
      <c r="I76" s="186">
        <f t="shared" si="8"/>
        <v>1022.312201</v>
      </c>
    </row>
    <row r="77" spans="1:9">
      <c r="A77" s="202" t="s">
        <v>520</v>
      </c>
      <c r="B77" s="207" t="s">
        <v>131</v>
      </c>
      <c r="C77" s="191" t="s">
        <v>3</v>
      </c>
      <c r="D77" s="54">
        <v>207.87164999999999</v>
      </c>
      <c r="E77" s="54"/>
      <c r="F77" s="118">
        <f t="shared" si="2"/>
        <v>207.87164999999999</v>
      </c>
      <c r="G77" s="54">
        <v>249.44597999999996</v>
      </c>
      <c r="H77" s="54"/>
      <c r="I77" s="186">
        <f t="shared" si="8"/>
        <v>249.44597999999996</v>
      </c>
    </row>
    <row r="78" spans="1:9">
      <c r="A78" s="208">
        <v>2</v>
      </c>
      <c r="B78" s="207" t="s">
        <v>100</v>
      </c>
      <c r="C78" s="191" t="s">
        <v>3</v>
      </c>
      <c r="D78" s="54"/>
      <c r="E78" s="54"/>
      <c r="F78" s="118">
        <f t="shared" si="2"/>
        <v>0</v>
      </c>
      <c r="G78" s="54"/>
      <c r="H78" s="54"/>
      <c r="I78" s="186">
        <f t="shared" si="8"/>
        <v>0</v>
      </c>
    </row>
    <row r="79" spans="1:9">
      <c r="A79" s="209" t="s">
        <v>428</v>
      </c>
      <c r="B79" s="210" t="s">
        <v>523</v>
      </c>
      <c r="C79" s="211" t="s">
        <v>3</v>
      </c>
      <c r="D79" s="212">
        <f>SUM(D80,D81)</f>
        <v>11.318</v>
      </c>
      <c r="E79" s="213"/>
      <c r="F79" s="214">
        <f t="shared" ref="F79:F85" si="9">SUM(D79:E79)</f>
        <v>11.318</v>
      </c>
      <c r="G79" s="212">
        <f>SUM(G80,G81)</f>
        <v>299.50299999999999</v>
      </c>
      <c r="H79" s="213"/>
      <c r="I79" s="215">
        <f>SUM(G79:H79)</f>
        <v>299.50299999999999</v>
      </c>
    </row>
    <row r="80" spans="1:9">
      <c r="A80" s="216" t="s">
        <v>260</v>
      </c>
      <c r="B80" s="205" t="s">
        <v>521</v>
      </c>
      <c r="C80" s="191" t="s">
        <v>3</v>
      </c>
      <c r="D80" s="118">
        <f>ROUND('ТИП-ПРОИЗ'!E38*'ТИП-ПРОИЗ'!$B38/1000,3)</f>
        <v>11.318</v>
      </c>
      <c r="E80" s="118"/>
      <c r="F80" s="118">
        <f t="shared" si="9"/>
        <v>11.318</v>
      </c>
      <c r="G80" s="118">
        <f>ROUND('ТИП-ПРОИЗ'!F38*'ТИП-ПРОИЗ'!$B38/1000,3)</f>
        <v>299.50299999999999</v>
      </c>
      <c r="H80" s="118"/>
      <c r="I80" s="186">
        <f>SUM(G80:H80)</f>
        <v>299.50299999999999</v>
      </c>
    </row>
    <row r="81" spans="1:9">
      <c r="A81" s="216" t="s">
        <v>261</v>
      </c>
      <c r="B81" s="205" t="s">
        <v>522</v>
      </c>
      <c r="C81" s="191" t="s">
        <v>3</v>
      </c>
      <c r="D81" s="118">
        <f>ROUND('ТИП-ПРОИЗ'!E55*'ТИП-ПРОИЗ'!$B55/1000,3)</f>
        <v>0</v>
      </c>
      <c r="E81" s="118"/>
      <c r="F81" s="118">
        <f t="shared" si="9"/>
        <v>0</v>
      </c>
      <c r="G81" s="118">
        <f>ROUND('ТИП-ПРОИЗ'!F55*'ТИП-ПРОИЗ'!$B55/1000,3)</f>
        <v>0</v>
      </c>
      <c r="H81" s="118"/>
      <c r="I81" s="186">
        <f>SUM(G81:H81)</f>
        <v>0</v>
      </c>
    </row>
    <row r="82" spans="1:9" ht="25.5">
      <c r="A82" s="202" t="s">
        <v>429</v>
      </c>
      <c r="B82" s="217" t="s">
        <v>524</v>
      </c>
      <c r="C82" s="191" t="s">
        <v>3</v>
      </c>
      <c r="D82" s="212">
        <f>SUM(D83:D84)</f>
        <v>857.41720452778611</v>
      </c>
      <c r="E82" s="213"/>
      <c r="F82" s="214">
        <f t="shared" si="9"/>
        <v>857.41720452778611</v>
      </c>
      <c r="G82" s="212">
        <f>SUM(G83:G84)</f>
        <v>1285.3665376510985</v>
      </c>
      <c r="H82" s="213"/>
      <c r="I82" s="215">
        <f>SUM(G82:H82)</f>
        <v>1285.3665376510985</v>
      </c>
    </row>
    <row r="83" spans="1:9" ht="25.5">
      <c r="A83" s="202" t="s">
        <v>251</v>
      </c>
      <c r="B83" s="217" t="s">
        <v>527</v>
      </c>
      <c r="C83" s="191" t="s">
        <v>3</v>
      </c>
      <c r="D83" s="212">
        <f>'ТИП-ПРОИЗ'!$B39*'ТИП-ПРОИЗ'!E39/1000</f>
        <v>857.41720452778611</v>
      </c>
      <c r="F83" s="213"/>
      <c r="G83" s="212">
        <f>'ТИП-ПРОИЗ'!$B39*'ТИП-ПРОИЗ'!F39/1000</f>
        <v>1285.3665376510985</v>
      </c>
      <c r="H83" s="213"/>
      <c r="I83" s="215">
        <f>SUM(G83:H83)</f>
        <v>1285.3665376510985</v>
      </c>
    </row>
    <row r="84" spans="1:9" ht="25.5">
      <c r="A84" s="202" t="s">
        <v>252</v>
      </c>
      <c r="B84" s="217" t="s">
        <v>528</v>
      </c>
      <c r="C84" s="191" t="s">
        <v>3</v>
      </c>
      <c r="D84" s="212">
        <f>'ТИП-ПРОИЗ'!$B56*'ТИП-ПРОИЗ'!E56/1000</f>
        <v>0</v>
      </c>
      <c r="E84" s="213"/>
      <c r="F84" s="214">
        <f t="shared" si="9"/>
        <v>0</v>
      </c>
      <c r="G84" s="212">
        <f>'ТИП-ПРОИЗ'!$B56*'ТИП-ПРОИЗ'!F56/1000</f>
        <v>0</v>
      </c>
      <c r="H84" s="213"/>
      <c r="I84" s="215">
        <f t="shared" si="8"/>
        <v>0</v>
      </c>
    </row>
    <row r="85" spans="1:9" ht="26.25" thickBot="1">
      <c r="A85" s="218" t="s">
        <v>430</v>
      </c>
      <c r="B85" s="219" t="s">
        <v>427</v>
      </c>
      <c r="C85" s="220" t="s">
        <v>3</v>
      </c>
      <c r="D85" s="221">
        <f>'ТИП-ПРОИЗ'!E98*'ТИП-ПРОИЗ'!E100/1000</f>
        <v>5476.3239999999996</v>
      </c>
      <c r="E85" s="222"/>
      <c r="F85" s="221">
        <f t="shared" si="9"/>
        <v>5476.3239999999996</v>
      </c>
      <c r="G85" s="221">
        <f>'ТИП-ПРОИЗ'!F98*'ТИП-ПРОИЗ'!F100/1000</f>
        <v>15074.755308</v>
      </c>
      <c r="H85" s="222"/>
      <c r="I85" s="223">
        <f t="shared" si="8"/>
        <v>15074.755308</v>
      </c>
    </row>
    <row r="86" spans="1:9" ht="13.5" thickTop="1"/>
    <row r="87" spans="1:9">
      <c r="A87" s="224" t="s">
        <v>128</v>
      </c>
      <c r="B87" s="225"/>
      <c r="C87" s="226"/>
      <c r="D87" s="227"/>
      <c r="E87" s="227"/>
      <c r="F87" s="228"/>
      <c r="G87" s="228"/>
      <c r="H87" s="228"/>
      <c r="I87" s="228"/>
    </row>
    <row r="88" spans="1:9">
      <c r="A88" s="129" t="s">
        <v>129</v>
      </c>
    </row>
    <row r="89" spans="1:9">
      <c r="A89" s="129" t="s">
        <v>130</v>
      </c>
    </row>
    <row r="90" spans="1:9"/>
    <row r="91" spans="1:9">
      <c r="A91" s="129" t="s">
        <v>769</v>
      </c>
      <c r="E91" s="229" t="s">
        <v>253</v>
      </c>
    </row>
    <row r="92" spans="1:9"/>
    <row r="93" spans="1:9">
      <c r="B93" s="230" t="s">
        <v>770</v>
      </c>
      <c r="F93" s="700" t="s">
        <v>771</v>
      </c>
      <c r="G93" s="700"/>
      <c r="H93" s="700"/>
      <c r="I93" s="700"/>
    </row>
    <row r="94" spans="1:9"/>
    <row r="95" spans="1:9" hidden="1"/>
    <row r="96" spans="1:9" hidden="1">
      <c r="A96" s="231"/>
      <c r="B96" s="232"/>
      <c r="C96" s="231"/>
      <c r="D96" s="231"/>
      <c r="E96" s="231"/>
      <c r="F96" s="231"/>
      <c r="G96" s="231"/>
      <c r="H96" s="231"/>
      <c r="I96" s="231"/>
    </row>
    <row r="97" spans="1:9" hidden="1">
      <c r="A97" s="231"/>
      <c r="B97" s="232"/>
      <c r="C97" s="231"/>
      <c r="D97" s="231"/>
      <c r="E97" s="231"/>
      <c r="F97" s="231"/>
      <c r="G97" s="231"/>
      <c r="H97" s="231"/>
      <c r="I97" s="231"/>
    </row>
    <row r="98" spans="1:9" hidden="1"/>
    <row r="99" spans="1:9" hidden="1"/>
    <row r="100" spans="1:9" hidden="1">
      <c r="B100" s="233"/>
    </row>
    <row r="101" spans="1:9" hidden="1">
      <c r="B101" s="103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9 F17:F18 F61 F13:F15 F11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workbookViewId="0">
      <selection activeCell="B4" sqref="B4:B5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14" t="s">
        <v>176</v>
      </c>
      <c r="C1" s="714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26" t="str">
        <f>'ТИП-ПРОИЗ'!B3</f>
        <v>"Топлофикация-Русе" ЕАД</v>
      </c>
      <c r="C2" s="726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21" t="s">
        <v>0</v>
      </c>
      <c r="B4" s="727" t="s">
        <v>132</v>
      </c>
      <c r="C4" s="729" t="s">
        <v>2</v>
      </c>
      <c r="D4" s="731" t="s">
        <v>778</v>
      </c>
      <c r="E4" s="731"/>
      <c r="F4" s="731"/>
      <c r="G4" s="732" t="s">
        <v>761</v>
      </c>
      <c r="H4" s="732"/>
      <c r="I4" s="733"/>
    </row>
    <row r="5" spans="1:9" s="3" customFormat="1" ht="35.25" customHeight="1">
      <c r="A5" s="722"/>
      <c r="B5" s="728"/>
      <c r="C5" s="730"/>
      <c r="D5" s="25" t="s">
        <v>150</v>
      </c>
      <c r="E5" s="734" t="s">
        <v>148</v>
      </c>
      <c r="F5" s="734"/>
      <c r="G5" s="25" t="s">
        <v>150</v>
      </c>
      <c r="H5" s="734" t="s">
        <v>148</v>
      </c>
      <c r="I5" s="735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79885.558900000455</v>
      </c>
      <c r="E6" s="719">
        <f>SUM(E7,E14)</f>
        <v>45319.989329999997</v>
      </c>
      <c r="F6" s="719"/>
      <c r="G6" s="27">
        <f>SUM(G7,G14)</f>
        <v>82875.589859999702</v>
      </c>
      <c r="H6" s="719">
        <f>SUM(H7,H14)</f>
        <v>48632.083160000308</v>
      </c>
      <c r="I6" s="736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79014.625020000458</v>
      </c>
      <c r="E7" s="717">
        <f>SUM(E8:F13)</f>
        <v>44549.989329999997</v>
      </c>
      <c r="F7" s="717"/>
      <c r="G7" s="28">
        <f>SUM(G8:G13)</f>
        <v>82002.704549999704</v>
      </c>
      <c r="H7" s="717">
        <f>SUM(H8:I13)</f>
        <v>47779.040700000311</v>
      </c>
      <c r="I7" s="718"/>
    </row>
    <row r="8" spans="1:9" s="3" customFormat="1">
      <c r="A8" s="26"/>
      <c r="B8" s="8" t="s">
        <v>135</v>
      </c>
      <c r="C8" s="12" t="s">
        <v>3</v>
      </c>
      <c r="D8" s="682">
        <v>4144.8954999999996</v>
      </c>
      <c r="E8" s="715"/>
      <c r="F8" s="716"/>
      <c r="G8" s="29">
        <v>4144.8954999999996</v>
      </c>
      <c r="H8" s="715"/>
      <c r="I8" s="716"/>
    </row>
    <row r="9" spans="1:9" s="3" customFormat="1">
      <c r="A9" s="26"/>
      <c r="B9" s="8" t="s">
        <v>136</v>
      </c>
      <c r="C9" s="12" t="s">
        <v>3</v>
      </c>
      <c r="D9" s="682">
        <v>7519.81484</v>
      </c>
      <c r="E9" s="715">
        <v>1814.9634100000001</v>
      </c>
      <c r="F9" s="716"/>
      <c r="G9" s="29">
        <v>7314.3391499999989</v>
      </c>
      <c r="H9" s="715">
        <v>2019.0200300000008</v>
      </c>
      <c r="I9" s="716"/>
    </row>
    <row r="10" spans="1:9" s="3" customFormat="1">
      <c r="A10" s="26"/>
      <c r="B10" s="8" t="s">
        <v>137</v>
      </c>
      <c r="C10" s="12" t="s">
        <v>3</v>
      </c>
      <c r="D10" s="682">
        <v>67014.779750000453</v>
      </c>
      <c r="E10" s="715">
        <v>42416.451000000001</v>
      </c>
      <c r="F10" s="716"/>
      <c r="G10" s="29">
        <v>70198.174969999702</v>
      </c>
      <c r="H10" s="715">
        <v>45435.270050000312</v>
      </c>
      <c r="I10" s="716"/>
    </row>
    <row r="11" spans="1:9" s="3" customFormat="1">
      <c r="A11" s="26"/>
      <c r="B11" s="8" t="s">
        <v>138</v>
      </c>
      <c r="C11" s="12" t="s">
        <v>3</v>
      </c>
      <c r="D11" s="682">
        <v>255.77018000000001</v>
      </c>
      <c r="E11" s="715">
        <v>241.45617999999999</v>
      </c>
      <c r="F11" s="716"/>
      <c r="G11" s="29">
        <v>260.58017999999993</v>
      </c>
      <c r="H11" s="715">
        <v>246.49770000000001</v>
      </c>
      <c r="I11" s="716"/>
    </row>
    <row r="12" spans="1:9" s="3" customFormat="1">
      <c r="A12" s="26"/>
      <c r="B12" s="8" t="s">
        <v>139</v>
      </c>
      <c r="C12" s="12" t="s">
        <v>3</v>
      </c>
      <c r="D12" s="682">
        <v>79.364750000000029</v>
      </c>
      <c r="E12" s="715">
        <v>77.118739999999988</v>
      </c>
      <c r="F12" s="716"/>
      <c r="G12" s="29">
        <v>84.714750000000009</v>
      </c>
      <c r="H12" s="715">
        <v>78.252920000000017</v>
      </c>
      <c r="I12" s="716"/>
    </row>
    <row r="13" spans="1:9" s="3" customFormat="1">
      <c r="A13" s="26"/>
      <c r="B13" s="8" t="s">
        <v>140</v>
      </c>
      <c r="C13" s="12" t="s">
        <v>3</v>
      </c>
      <c r="D13" s="682"/>
      <c r="E13" s="715"/>
      <c r="F13" s="716"/>
      <c r="G13" s="29"/>
      <c r="H13" s="715"/>
      <c r="I13" s="716"/>
    </row>
    <row r="14" spans="1:9" s="3" customFormat="1">
      <c r="A14" s="26" t="s">
        <v>142</v>
      </c>
      <c r="B14" s="7" t="s">
        <v>174</v>
      </c>
      <c r="C14" s="12" t="s">
        <v>3</v>
      </c>
      <c r="D14" s="682">
        <v>870.93388000000004</v>
      </c>
      <c r="E14" s="715">
        <v>770</v>
      </c>
      <c r="F14" s="716"/>
      <c r="G14" s="29">
        <v>872.88531000000012</v>
      </c>
      <c r="H14" s="715">
        <v>853.04246000000012</v>
      </c>
      <c r="I14" s="716"/>
    </row>
    <row r="15" spans="1:9" s="3" customFormat="1">
      <c r="A15" s="26" t="s">
        <v>143</v>
      </c>
      <c r="B15" s="13" t="s">
        <v>153</v>
      </c>
      <c r="C15" s="12" t="s">
        <v>3</v>
      </c>
      <c r="D15" s="682">
        <v>1778</v>
      </c>
      <c r="E15" s="715"/>
      <c r="F15" s="716"/>
      <c r="G15" s="29">
        <v>1474</v>
      </c>
      <c r="H15" s="715"/>
      <c r="I15" s="716"/>
    </row>
    <row r="16" spans="1:9" s="3" customFormat="1">
      <c r="A16" s="26" t="s">
        <v>177</v>
      </c>
      <c r="B16" s="30" t="s">
        <v>147</v>
      </c>
      <c r="C16" s="12" t="s">
        <v>3</v>
      </c>
      <c r="D16" s="723">
        <v>11711.794385437814</v>
      </c>
      <c r="E16" s="724"/>
      <c r="F16" s="725"/>
      <c r="G16" s="723">
        <v>11346.324228979709</v>
      </c>
      <c r="H16" s="724"/>
      <c r="I16" s="725"/>
    </row>
    <row r="17" spans="1:36" ht="13.5" thickBot="1">
      <c r="A17" s="31" t="s">
        <v>178</v>
      </c>
      <c r="B17" s="39" t="s">
        <v>146</v>
      </c>
      <c r="C17" s="42" t="s">
        <v>3</v>
      </c>
      <c r="D17" s="712">
        <f>SUM(D6,D16)-SUM(D15,E6)</f>
        <v>44499.363955438268</v>
      </c>
      <c r="E17" s="712"/>
      <c r="F17" s="712"/>
      <c r="G17" s="712">
        <f>SUM(G6,G16)-SUM(G15,H6)</f>
        <v>44115.8309289791</v>
      </c>
      <c r="H17" s="712"/>
      <c r="I17" s="71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8"/>
      <c r="C18" s="62"/>
      <c r="D18" s="69"/>
      <c r="E18" s="69"/>
      <c r="F18" s="69"/>
      <c r="G18" s="69"/>
      <c r="H18" s="69"/>
      <c r="I18" s="69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20">
        <f>IF(G17=0,0,D35/G17)</f>
        <v>0.81662507268596041</v>
      </c>
      <c r="B20" s="720"/>
      <c r="C20" s="720"/>
      <c r="D20" s="720"/>
      <c r="E20" s="720"/>
      <c r="F20" s="720"/>
      <c r="G20" s="720"/>
      <c r="H20" s="720"/>
      <c r="I20" s="720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21" t="s">
        <v>0</v>
      </c>
      <c r="B22" s="727" t="s">
        <v>132</v>
      </c>
      <c r="C22" s="729" t="s">
        <v>2</v>
      </c>
      <c r="D22" s="738" t="s">
        <v>282</v>
      </c>
      <c r="E22" s="738"/>
      <c r="F22" s="738"/>
      <c r="G22" s="739" t="s">
        <v>85</v>
      </c>
      <c r="H22" s="739"/>
      <c r="I22" s="740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22"/>
      <c r="B23" s="728"/>
      <c r="C23" s="730"/>
      <c r="D23" s="25" t="s">
        <v>150</v>
      </c>
      <c r="E23" s="734" t="s">
        <v>148</v>
      </c>
      <c r="F23" s="734"/>
      <c r="G23" s="25" t="s">
        <v>150</v>
      </c>
      <c r="H23" s="734" t="s">
        <v>148</v>
      </c>
      <c r="I23" s="73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60464.6525699997</v>
      </c>
      <c r="E24" s="719">
        <f>SUM(E25,E32)</f>
        <v>34310.88316000031</v>
      </c>
      <c r="F24" s="719"/>
      <c r="G24" s="27">
        <f>SUM(G25,G32)</f>
        <v>22410.937289999998</v>
      </c>
      <c r="H24" s="719">
        <f>SUM(H25,H32)</f>
        <v>14321.2</v>
      </c>
      <c r="I24" s="73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59612.900819999697</v>
      </c>
      <c r="E25" s="717">
        <f>SUM(E26:F31)</f>
        <v>33542.840700000314</v>
      </c>
      <c r="F25" s="717"/>
      <c r="G25" s="28">
        <f>SUM(G26:G31)</f>
        <v>22389.80373</v>
      </c>
      <c r="H25" s="717">
        <f>SUM(H26:I31)</f>
        <v>14236.2</v>
      </c>
      <c r="I25" s="718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4144.8954999999996</v>
      </c>
      <c r="E26" s="706">
        <f t="shared" si="0"/>
        <v>0</v>
      </c>
      <c r="F26" s="706"/>
      <c r="G26" s="29"/>
      <c r="H26" s="707"/>
      <c r="I26" s="708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6661.5354199999992</v>
      </c>
      <c r="E27" s="706">
        <f t="shared" si="0"/>
        <v>1413.3200300000008</v>
      </c>
      <c r="F27" s="706"/>
      <c r="G27" s="29">
        <v>652.80372999999997</v>
      </c>
      <c r="H27" s="707">
        <v>605.70000000000005</v>
      </c>
      <c r="I27" s="708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>SUM(G10,-G28)</f>
        <v>48461.174969999702</v>
      </c>
      <c r="E28" s="706">
        <f t="shared" si="0"/>
        <v>31804.770050000312</v>
      </c>
      <c r="F28" s="706"/>
      <c r="G28" s="43">
        <v>21737</v>
      </c>
      <c r="H28" s="707">
        <v>13630.5</v>
      </c>
      <c r="I28" s="70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260.58017999999993</v>
      </c>
      <c r="E29" s="706">
        <f t="shared" si="0"/>
        <v>246.49770000000001</v>
      </c>
      <c r="F29" s="706"/>
      <c r="G29" s="29"/>
      <c r="H29" s="707"/>
      <c r="I29" s="708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84.714750000000009</v>
      </c>
      <c r="E30" s="706">
        <f t="shared" si="0"/>
        <v>78.252920000000017</v>
      </c>
      <c r="F30" s="706"/>
      <c r="G30" s="29"/>
      <c r="H30" s="707"/>
      <c r="I30" s="70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06">
        <f t="shared" si="0"/>
        <v>0</v>
      </c>
      <c r="F31" s="706"/>
      <c r="G31" s="29"/>
      <c r="H31" s="707"/>
      <c r="I31" s="708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851.75175000000013</v>
      </c>
      <c r="E32" s="706">
        <f t="shared" si="0"/>
        <v>768.04246000000012</v>
      </c>
      <c r="F32" s="706"/>
      <c r="G32" s="43">
        <v>21.133560000000003</v>
      </c>
      <c r="H32" s="707">
        <v>85</v>
      </c>
      <c r="I32" s="708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1474</v>
      </c>
      <c r="E33" s="706">
        <f t="shared" si="0"/>
        <v>0</v>
      </c>
      <c r="F33" s="706"/>
      <c r="G33" s="29"/>
      <c r="H33" s="707"/>
      <c r="I33" s="70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09">
        <f>SUM(G16,-G34)</f>
        <v>11346.324228979709</v>
      </c>
      <c r="E34" s="709"/>
      <c r="F34" s="709"/>
      <c r="G34" s="710"/>
      <c r="H34" s="710"/>
      <c r="I34" s="711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12">
        <f>SUM(D24,D34)-SUM(D33,E24)</f>
        <v>36026.093638979095</v>
      </c>
      <c r="E35" s="712"/>
      <c r="F35" s="712"/>
      <c r="G35" s="712">
        <f>SUM(G24,G34)-SUM(G33,H24)</f>
        <v>8089.7372899999973</v>
      </c>
      <c r="H35" s="712"/>
      <c r="I35" s="71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8"/>
      <c r="C36" s="62"/>
      <c r="D36" s="69"/>
      <c r="E36" s="69"/>
      <c r="F36" s="69"/>
      <c r="G36" s="69"/>
      <c r="H36" s="69"/>
      <c r="I36" s="69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7">
        <f>IF(D35=0,0,D53/D35)</f>
        <v>1</v>
      </c>
      <c r="B38" s="737"/>
      <c r="C38" s="737"/>
      <c r="D38" s="737"/>
      <c r="E38" s="737"/>
      <c r="F38" s="737"/>
      <c r="G38" s="737"/>
      <c r="H38" s="737"/>
      <c r="I38" s="737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21" t="s">
        <v>0</v>
      </c>
      <c r="B40" s="727" t="s">
        <v>132</v>
      </c>
      <c r="C40" s="729" t="s">
        <v>2</v>
      </c>
      <c r="D40" s="738" t="s">
        <v>384</v>
      </c>
      <c r="E40" s="738"/>
      <c r="F40" s="738"/>
      <c r="G40" s="739" t="s">
        <v>385</v>
      </c>
      <c r="H40" s="739"/>
      <c r="I40" s="740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22"/>
      <c r="B41" s="728"/>
      <c r="C41" s="730"/>
      <c r="D41" s="25" t="s">
        <v>150</v>
      </c>
      <c r="E41" s="734" t="s">
        <v>148</v>
      </c>
      <c r="F41" s="734"/>
      <c r="G41" s="25" t="s">
        <v>150</v>
      </c>
      <c r="H41" s="734" t="s">
        <v>148</v>
      </c>
      <c r="I41" s="73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60464.6525699997</v>
      </c>
      <c r="E42" s="719">
        <f>SUM(E43,E50)</f>
        <v>34310.88316000031</v>
      </c>
      <c r="F42" s="719"/>
      <c r="G42" s="27">
        <f>SUM(G43,G50)</f>
        <v>0</v>
      </c>
      <c r="H42" s="719">
        <f>SUM(H43,H50)</f>
        <v>0</v>
      </c>
      <c r="I42" s="736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59612.900819999697</v>
      </c>
      <c r="E43" s="717">
        <f>SUM(E44:F49)</f>
        <v>33542.840700000314</v>
      </c>
      <c r="F43" s="717"/>
      <c r="G43" s="28">
        <f>SUM(G44:G49)</f>
        <v>0</v>
      </c>
      <c r="H43" s="717">
        <f>SUM(H44:I49)</f>
        <v>0</v>
      </c>
      <c r="I43" s="718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4144.8954999999996</v>
      </c>
      <c r="E44" s="706">
        <f t="shared" si="1"/>
        <v>0</v>
      </c>
      <c r="F44" s="706"/>
      <c r="G44" s="29"/>
      <c r="H44" s="707"/>
      <c r="I44" s="70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6661.5354199999992</v>
      </c>
      <c r="E45" s="706">
        <f t="shared" si="1"/>
        <v>1413.3200300000008</v>
      </c>
      <c r="F45" s="706"/>
      <c r="G45" s="29"/>
      <c r="H45" s="707"/>
      <c r="I45" s="70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48461.174969999702</v>
      </c>
      <c r="E46" s="706">
        <f t="shared" si="1"/>
        <v>31804.770050000312</v>
      </c>
      <c r="F46" s="706"/>
      <c r="G46" s="43"/>
      <c r="H46" s="707"/>
      <c r="I46" s="70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260.58017999999993</v>
      </c>
      <c r="E47" s="706">
        <f t="shared" si="1"/>
        <v>246.49770000000001</v>
      </c>
      <c r="F47" s="706"/>
      <c r="G47" s="29"/>
      <c r="H47" s="707"/>
      <c r="I47" s="70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84.714750000000009</v>
      </c>
      <c r="E48" s="706">
        <f t="shared" si="1"/>
        <v>78.252920000000017</v>
      </c>
      <c r="F48" s="706"/>
      <c r="G48" s="29"/>
      <c r="H48" s="707"/>
      <c r="I48" s="708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06">
        <f t="shared" si="1"/>
        <v>0</v>
      </c>
      <c r="F49" s="706"/>
      <c r="G49" s="29"/>
      <c r="H49" s="707"/>
      <c r="I49" s="708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851.75175000000013</v>
      </c>
      <c r="E50" s="706">
        <f t="shared" si="1"/>
        <v>768.04246000000012</v>
      </c>
      <c r="F50" s="706"/>
      <c r="G50" s="43"/>
      <c r="H50" s="707"/>
      <c r="I50" s="70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1474</v>
      </c>
      <c r="E51" s="706">
        <f t="shared" si="1"/>
        <v>0</v>
      </c>
      <c r="F51" s="706"/>
      <c r="G51" s="29"/>
      <c r="H51" s="707"/>
      <c r="I51" s="708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09">
        <f>SUM(D34,-G52)</f>
        <v>11346.324228979709</v>
      </c>
      <c r="E52" s="709"/>
      <c r="F52" s="709"/>
      <c r="G52" s="710"/>
      <c r="H52" s="710"/>
      <c r="I52" s="711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12">
        <f>SUM(D42,D52)-SUM(D51,E42)</f>
        <v>36026.093638979095</v>
      </c>
      <c r="E53" s="712"/>
      <c r="F53" s="712"/>
      <c r="G53" s="712">
        <f>SUM(G42,G52)-SUM(G51,H42)</f>
        <v>0</v>
      </c>
      <c r="H53" s="712"/>
      <c r="I53" s="71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8"/>
      <c r="C54" s="62"/>
      <c r="D54" s="69"/>
      <c r="E54" s="69"/>
      <c r="F54" s="69"/>
      <c r="G54" s="69"/>
      <c r="H54" s="69"/>
      <c r="I54" s="6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8"/>
      <c r="C55" s="62"/>
      <c r="D55" s="69"/>
      <c r="E55" s="69"/>
      <c r="F55" s="69"/>
      <c r="G55" s="69"/>
      <c r="H55" s="69"/>
      <c r="I55" s="6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8"/>
      <c r="C56" s="62"/>
      <c r="D56" s="69"/>
      <c r="E56" s="69"/>
      <c r="F56" s="69"/>
      <c r="G56" s="69"/>
      <c r="H56" s="69"/>
      <c r="I56" s="69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8"/>
      <c r="C57" s="62"/>
      <c r="D57" s="69"/>
      <c r="E57" s="69"/>
      <c r="F57" s="69"/>
      <c r="G57" s="69"/>
      <c r="H57" s="69"/>
      <c r="I57" s="69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47">
        <f>IF(G17=0,0,I69/G17)</f>
        <v>0.71782449368301693</v>
      </c>
      <c r="B59" s="747"/>
      <c r="C59" s="747"/>
      <c r="D59" s="747"/>
      <c r="E59" s="747"/>
      <c r="F59" s="747"/>
      <c r="G59" s="747"/>
      <c r="H59" s="747"/>
      <c r="I59" s="747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21" t="s">
        <v>0</v>
      </c>
      <c r="B61" s="727" t="s">
        <v>132</v>
      </c>
      <c r="C61" s="729" t="s">
        <v>2</v>
      </c>
      <c r="D61" s="748" t="str">
        <f>$D$4</f>
        <v>ОТЧЕТ към 31.12.2018 г.</v>
      </c>
      <c r="E61" s="748"/>
      <c r="F61" s="748"/>
      <c r="G61" s="749" t="str">
        <f>$G$4</f>
        <v>ОТЧЕТ към 31.12.2019 г.</v>
      </c>
      <c r="H61" s="749"/>
      <c r="I61" s="750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22"/>
      <c r="B62" s="728"/>
      <c r="C62" s="730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42" t="s">
        <v>154</v>
      </c>
      <c r="B64" s="13" t="s">
        <v>5</v>
      </c>
      <c r="C64" s="12" t="s">
        <v>3</v>
      </c>
      <c r="D64" s="53">
        <f>SUM(D7,-D70,-E70)</f>
        <v>53670.882410000675</v>
      </c>
      <c r="E64" s="53"/>
      <c r="F64" s="53">
        <f t="shared" ref="F64:F69" si="2">D64</f>
        <v>53670.882410000675</v>
      </c>
      <c r="G64" s="53">
        <f>SUM(D25,-G70)</f>
        <v>56213.900819999697</v>
      </c>
      <c r="H64" s="53"/>
      <c r="I64" s="78">
        <f t="shared" ref="I64:I69" si="3">G64</f>
        <v>56213.900819999697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43"/>
      <c r="B65" s="13" t="s">
        <v>175</v>
      </c>
      <c r="C65" s="12" t="s">
        <v>3</v>
      </c>
      <c r="D65" s="53">
        <f>SUM(D14,-D71,-E71)</f>
        <v>671.80032000000006</v>
      </c>
      <c r="E65" s="53"/>
      <c r="F65" s="53">
        <f t="shared" si="2"/>
        <v>671.80032000000006</v>
      </c>
      <c r="G65" s="53">
        <f>SUM(D32,-G71)</f>
        <v>673.75175000000013</v>
      </c>
      <c r="H65" s="53"/>
      <c r="I65" s="78">
        <f t="shared" si="3"/>
        <v>673.75175000000013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43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78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43"/>
      <c r="B67" s="13" t="s">
        <v>148</v>
      </c>
      <c r="C67" s="12" t="s">
        <v>94</v>
      </c>
      <c r="D67" s="53">
        <f>SUM(E6,-D73,-E73)</f>
        <v>30717.758564526128</v>
      </c>
      <c r="E67" s="53"/>
      <c r="F67" s="53">
        <f t="shared" si="2"/>
        <v>30717.758564526128</v>
      </c>
      <c r="G67" s="53">
        <f>SUM(E24,-G73)</f>
        <v>32595.339002000295</v>
      </c>
      <c r="H67" s="53"/>
      <c r="I67" s="78">
        <f t="shared" si="3"/>
        <v>32595.339002000295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43"/>
      <c r="B68" s="13" t="s">
        <v>6</v>
      </c>
      <c r="C68" s="12" t="s">
        <v>3</v>
      </c>
      <c r="D68" s="53">
        <f>SUM(D16,-D74,-E74)</f>
        <v>7378.4304628258233</v>
      </c>
      <c r="E68" s="53"/>
      <c r="F68" s="53">
        <f t="shared" si="2"/>
        <v>7378.4304628258233</v>
      </c>
      <c r="G68" s="53">
        <f>SUM(D34,-G74)</f>
        <v>7375.1107488368107</v>
      </c>
      <c r="H68" s="53"/>
      <c r="I68" s="78">
        <f t="shared" si="3"/>
        <v>7375.1107488368107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44"/>
      <c r="B69" s="40" t="s">
        <v>248</v>
      </c>
      <c r="C69" s="10" t="s">
        <v>3</v>
      </c>
      <c r="D69" s="91">
        <f>ROUND(SUM(D64:D65,D68)-D66-D67,3)</f>
        <v>31003.355</v>
      </c>
      <c r="E69" s="91"/>
      <c r="F69" s="91">
        <f t="shared" si="2"/>
        <v>31003.355</v>
      </c>
      <c r="G69" s="92">
        <f>ROUND(SUM(G64:G65,G68)-G66-G67,3)</f>
        <v>31667.423999999999</v>
      </c>
      <c r="H69" s="92"/>
      <c r="I69" s="93">
        <f t="shared" si="3"/>
        <v>31667.423999999999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45" t="s">
        <v>155</v>
      </c>
      <c r="B70" s="13" t="s">
        <v>5</v>
      </c>
      <c r="C70" s="12" t="s">
        <v>3</v>
      </c>
      <c r="D70" s="54">
        <v>3269</v>
      </c>
      <c r="E70" s="54">
        <v>22074.742609999783</v>
      </c>
      <c r="F70" s="53">
        <f>SUM(D70:E70)</f>
        <v>25343.742609999783</v>
      </c>
      <c r="G70" s="54">
        <v>3399</v>
      </c>
      <c r="H70" s="98">
        <f>G25</f>
        <v>22389.80373</v>
      </c>
      <c r="I70" s="78">
        <f>SUM(G70:H70)</f>
        <v>25788.80373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45"/>
      <c r="B71" s="13" t="s">
        <v>175</v>
      </c>
      <c r="C71" s="12" t="s">
        <v>3</v>
      </c>
      <c r="D71" s="54">
        <v>178</v>
      </c>
      <c r="E71" s="54">
        <v>21.133560000000003</v>
      </c>
      <c r="F71" s="53">
        <f t="shared" ref="F71:F76" si="4">SUM(D71:E71)</f>
        <v>199.13355999999999</v>
      </c>
      <c r="G71" s="54">
        <v>178</v>
      </c>
      <c r="H71" s="98">
        <f>G32</f>
        <v>21.133560000000003</v>
      </c>
      <c r="I71" s="78">
        <f t="shared" ref="I71:I76" si="5">SUM(G71:H71)</f>
        <v>199.13355999999999</v>
      </c>
      <c r="J71" s="36"/>
    </row>
    <row r="72" spans="1:36" ht="15" customHeight="1">
      <c r="A72" s="745"/>
      <c r="B72" s="13" t="s">
        <v>153</v>
      </c>
      <c r="C72" s="12" t="s">
        <v>3</v>
      </c>
      <c r="D72" s="54">
        <v>1778</v>
      </c>
      <c r="E72" s="54">
        <v>0</v>
      </c>
      <c r="F72" s="53">
        <f t="shared" si="4"/>
        <v>1778</v>
      </c>
      <c r="G72" s="54">
        <v>1474</v>
      </c>
      <c r="H72" s="98">
        <f>G33</f>
        <v>0</v>
      </c>
      <c r="I72" s="78">
        <f t="shared" si="5"/>
        <v>1474</v>
      </c>
      <c r="J72" s="36"/>
    </row>
    <row r="73" spans="1:36" ht="15" customHeight="1">
      <c r="A73" s="745"/>
      <c r="B73" s="13" t="s">
        <v>148</v>
      </c>
      <c r="C73" s="12" t="s">
        <v>94</v>
      </c>
      <c r="D73" s="54">
        <v>1803.4893154738065</v>
      </c>
      <c r="E73" s="54">
        <v>12798.74145000006</v>
      </c>
      <c r="F73" s="53">
        <f t="shared" si="4"/>
        <v>14602.230765473865</v>
      </c>
      <c r="G73" s="54">
        <v>1715.5441580000156</v>
      </c>
      <c r="H73" s="98">
        <f>H24</f>
        <v>14321.2</v>
      </c>
      <c r="I73" s="78">
        <f t="shared" si="5"/>
        <v>16036.744158000016</v>
      </c>
      <c r="J73" s="36"/>
    </row>
    <row r="74" spans="1:36" ht="15" customHeight="1">
      <c r="A74" s="745"/>
      <c r="B74" s="13" t="s">
        <v>6</v>
      </c>
      <c r="C74" s="12" t="s">
        <v>3</v>
      </c>
      <c r="D74" s="54">
        <v>4333.3639226119903</v>
      </c>
      <c r="E74" s="54">
        <v>0</v>
      </c>
      <c r="F74" s="53">
        <f t="shared" si="4"/>
        <v>4333.3639226119903</v>
      </c>
      <c r="G74" s="54">
        <v>3971.2134801428979</v>
      </c>
      <c r="H74" s="98">
        <f>G34</f>
        <v>0</v>
      </c>
      <c r="I74" s="78">
        <f t="shared" si="5"/>
        <v>3971.2134801428979</v>
      </c>
      <c r="J74" s="36"/>
    </row>
    <row r="75" spans="1:36" ht="30" customHeight="1" thickBot="1">
      <c r="A75" s="746"/>
      <c r="B75" s="41" t="s">
        <v>249</v>
      </c>
      <c r="C75" s="37" t="s">
        <v>3</v>
      </c>
      <c r="D75" s="89">
        <f>ROUND(SUM(D70:D71,D74)-D72-D73,3)</f>
        <v>4198.875</v>
      </c>
      <c r="E75" s="89">
        <f>ROUND(SUM(E70:E71,E74)-E72-E73,3)</f>
        <v>9297.1350000000002</v>
      </c>
      <c r="F75" s="89">
        <f t="shared" si="4"/>
        <v>13496.01</v>
      </c>
      <c r="G75" s="89">
        <f>ROUND(SUM(G70:G71,G74)-G72-G73,3)</f>
        <v>4358.6689999999999</v>
      </c>
      <c r="H75" s="89">
        <f>ROUND(SUM(H70:H71,H74)-H72-H73,3)</f>
        <v>8089.7370000000001</v>
      </c>
      <c r="I75" s="90">
        <f t="shared" si="5"/>
        <v>12448.405999999999</v>
      </c>
      <c r="J75" s="36"/>
    </row>
    <row r="76" spans="1:36" ht="30" customHeight="1" thickTop="1" thickBot="1">
      <c r="A76" s="512" t="s">
        <v>700</v>
      </c>
      <c r="B76" s="94" t="s">
        <v>699</v>
      </c>
      <c r="C76" s="95" t="s">
        <v>3</v>
      </c>
      <c r="D76" s="96">
        <f>ROUND(SUM(D69,D75),3)</f>
        <v>35202.230000000003</v>
      </c>
      <c r="E76" s="96">
        <f>ROUND(SUM(E69,E75),3)</f>
        <v>9297.1350000000002</v>
      </c>
      <c r="F76" s="96">
        <f t="shared" si="4"/>
        <v>44499.365000000005</v>
      </c>
      <c r="G76" s="96">
        <f>ROUND(SUM(G69,G75),3)</f>
        <v>36026.093000000001</v>
      </c>
      <c r="H76" s="96">
        <f>ROUND(SUM(H69,H75),3)</f>
        <v>8089.7370000000001</v>
      </c>
      <c r="I76" s="97">
        <f t="shared" si="5"/>
        <v>44115.83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 xml:space="preserve">Ръководител ФИД: 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Разходи!B93</f>
        <v>/ П.Петрова /</v>
      </c>
      <c r="C81" s="11"/>
      <c r="D81" s="3"/>
      <c r="E81" s="3"/>
      <c r="F81" s="3"/>
      <c r="G81" s="741" t="str">
        <f>Разходи!F93</f>
        <v xml:space="preserve"> /С.Желев/</v>
      </c>
      <c r="H81" s="741"/>
      <c r="I81" s="741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27 D44:F52 H71 H73:H74 H72 D29:F34 E28:F28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workbookViewId="0">
      <selection activeCell="B10" sqref="B10:D10"/>
    </sheetView>
  </sheetViews>
  <sheetFormatPr defaultColWidth="0" defaultRowHeight="12.75" zeroHeight="1"/>
  <cols>
    <col min="1" max="1" width="3.85546875" style="100" customWidth="1"/>
    <col min="2" max="2" width="20.42578125" style="100" customWidth="1"/>
    <col min="3" max="4" width="11" style="100" customWidth="1"/>
    <col min="5" max="5" width="7.5703125" style="100" customWidth="1"/>
    <col min="6" max="6" width="16.5703125" style="100" customWidth="1"/>
    <col min="7" max="7" width="20.42578125" style="100" customWidth="1"/>
    <col min="8" max="8" width="7.5703125" style="100" customWidth="1"/>
    <col min="9" max="12" width="7.5703125" style="100" hidden="1" customWidth="1"/>
    <col min="13" max="16384" width="0" style="100" hidden="1"/>
  </cols>
  <sheetData>
    <row r="1" spans="1:8" ht="18.75">
      <c r="A1" s="99"/>
      <c r="B1" s="766">
        <v>3</v>
      </c>
      <c r="C1" s="766"/>
      <c r="D1" s="766"/>
      <c r="E1" s="766"/>
      <c r="F1" s="234"/>
      <c r="G1" s="130" t="s">
        <v>681</v>
      </c>
    </row>
    <row r="2" spans="1:8">
      <c r="A2" s="99"/>
      <c r="B2" s="99"/>
      <c r="C2" s="99"/>
      <c r="D2" s="99"/>
      <c r="E2" s="99"/>
      <c r="F2" s="99"/>
      <c r="G2" s="99"/>
    </row>
    <row r="3" spans="1:8">
      <c r="A3" s="99"/>
      <c r="B3" s="99"/>
      <c r="C3" s="99"/>
      <c r="D3" s="99"/>
      <c r="E3" s="99"/>
      <c r="F3" s="99"/>
      <c r="G3" s="99"/>
    </row>
    <row r="4" spans="1:8" ht="15.75" customHeight="1">
      <c r="A4" s="149"/>
      <c r="B4" s="767" t="s">
        <v>156</v>
      </c>
      <c r="C4" s="767"/>
      <c r="D4" s="767"/>
      <c r="E4" s="767"/>
      <c r="F4" s="149"/>
      <c r="G4" s="149"/>
    </row>
    <row r="5" spans="1:8" ht="15.75">
      <c r="A5" s="235"/>
      <c r="B5" s="768" t="str">
        <f>'ТИП-ПРОИЗ'!$B$3:$C$3</f>
        <v>"Топлофикация-Русе" ЕАД</v>
      </c>
      <c r="C5" s="768"/>
      <c r="D5" s="768"/>
      <c r="E5" s="768"/>
      <c r="F5" s="235"/>
      <c r="G5" s="235"/>
    </row>
    <row r="6" spans="1:8" ht="15.75">
      <c r="A6" s="235"/>
      <c r="B6" s="236"/>
      <c r="C6" s="236"/>
      <c r="D6" s="236"/>
      <c r="E6" s="235"/>
      <c r="F6" s="235"/>
      <c r="G6" s="235"/>
    </row>
    <row r="7" spans="1:8" ht="15.75">
      <c r="A7" s="235"/>
      <c r="B7" s="236"/>
      <c r="C7" s="236"/>
      <c r="D7" s="236"/>
      <c r="E7" s="235"/>
      <c r="F7" s="235"/>
      <c r="G7" s="235"/>
    </row>
    <row r="8" spans="1:8"/>
    <row r="9" spans="1:8" ht="13.5" thickBot="1">
      <c r="A9" s="112"/>
      <c r="B9" s="112"/>
      <c r="C9" s="112"/>
      <c r="D9" s="112"/>
      <c r="E9" s="112"/>
      <c r="F9" s="112"/>
      <c r="G9" s="112"/>
    </row>
    <row r="10" spans="1:8" s="103" customFormat="1" ht="30" customHeight="1" thickTop="1">
      <c r="A10" s="237" t="s">
        <v>0</v>
      </c>
      <c r="B10" s="769" t="s">
        <v>71</v>
      </c>
      <c r="C10" s="770"/>
      <c r="D10" s="771"/>
      <c r="E10" s="238" t="s">
        <v>41</v>
      </c>
      <c r="F10" s="239" t="s">
        <v>760</v>
      </c>
      <c r="G10" s="517" t="s">
        <v>762</v>
      </c>
      <c r="H10" s="240"/>
    </row>
    <row r="11" spans="1:8" s="103" customFormat="1">
      <c r="A11" s="241">
        <v>1</v>
      </c>
      <c r="B11" s="772">
        <v>2</v>
      </c>
      <c r="C11" s="773"/>
      <c r="D11" s="774"/>
      <c r="E11" s="242">
        <v>3</v>
      </c>
      <c r="F11" s="242">
        <v>4</v>
      </c>
      <c r="G11" s="243">
        <v>5</v>
      </c>
      <c r="H11" s="244"/>
    </row>
    <row r="12" spans="1:8" s="247" customFormat="1" ht="15">
      <c r="A12" s="185">
        <v>1</v>
      </c>
      <c r="B12" s="754" t="s">
        <v>72</v>
      </c>
      <c r="C12" s="755"/>
      <c r="D12" s="756"/>
      <c r="E12" s="245" t="s">
        <v>73</v>
      </c>
      <c r="F12" s="70">
        <v>70357</v>
      </c>
      <c r="G12" s="684">
        <v>73528</v>
      </c>
      <c r="H12" s="246"/>
    </row>
    <row r="13" spans="1:8" s="247" customFormat="1" ht="15" customHeight="1">
      <c r="A13" s="185">
        <v>2</v>
      </c>
      <c r="B13" s="754" t="s">
        <v>92</v>
      </c>
      <c r="C13" s="755"/>
      <c r="D13" s="756"/>
      <c r="E13" s="245" t="s">
        <v>7</v>
      </c>
      <c r="F13" s="248">
        <f>IF(F12+F15=0,0,F12/(F12+F15))</f>
        <v>0.84404429142123638</v>
      </c>
      <c r="G13" s="249">
        <f>IF(G12+G15=0,0,G12/(G12+G15))</f>
        <v>0.71830641931166539</v>
      </c>
      <c r="H13" s="250"/>
    </row>
    <row r="14" spans="1:8" s="247" customFormat="1" ht="17.25" customHeight="1">
      <c r="A14" s="185">
        <v>3</v>
      </c>
      <c r="B14" s="754" t="s">
        <v>74</v>
      </c>
      <c r="C14" s="755"/>
      <c r="D14" s="756"/>
      <c r="E14" s="245" t="s">
        <v>7</v>
      </c>
      <c r="F14" s="71">
        <v>7.0000000000000007E-2</v>
      </c>
      <c r="G14" s="681">
        <v>7.0000000000000007E-2</v>
      </c>
      <c r="H14" s="251"/>
    </row>
    <row r="15" spans="1:8" s="247" customFormat="1" ht="15" customHeight="1">
      <c r="A15" s="185">
        <v>4</v>
      </c>
      <c r="B15" s="754" t="s">
        <v>91</v>
      </c>
      <c r="C15" s="755"/>
      <c r="D15" s="756"/>
      <c r="E15" s="245" t="s">
        <v>73</v>
      </c>
      <c r="F15" s="252">
        <f>SUM(F16:F17)</f>
        <v>13000</v>
      </c>
      <c r="G15" s="253">
        <f>SUM(G16:G17)</f>
        <v>28835</v>
      </c>
      <c r="H15" s="246"/>
    </row>
    <row r="16" spans="1:8" s="247" customFormat="1" ht="15" customHeight="1">
      <c r="A16" s="185"/>
      <c r="B16" s="754" t="s">
        <v>89</v>
      </c>
      <c r="C16" s="755"/>
      <c r="D16" s="756"/>
      <c r="E16" s="245" t="s">
        <v>73</v>
      </c>
      <c r="F16" s="70">
        <v>0</v>
      </c>
      <c r="G16" s="669"/>
      <c r="H16" s="246"/>
    </row>
    <row r="17" spans="1:8" s="247" customFormat="1" ht="15">
      <c r="A17" s="185"/>
      <c r="B17" s="754" t="s">
        <v>90</v>
      </c>
      <c r="C17" s="755"/>
      <c r="D17" s="756"/>
      <c r="E17" s="245" t="s">
        <v>73</v>
      </c>
      <c r="F17" s="70">
        <v>13000</v>
      </c>
      <c r="G17" s="684">
        <v>28835</v>
      </c>
      <c r="H17" s="246"/>
    </row>
    <row r="18" spans="1:8" s="247" customFormat="1" ht="15" customHeight="1">
      <c r="A18" s="185">
        <v>5</v>
      </c>
      <c r="B18" s="754" t="s">
        <v>93</v>
      </c>
      <c r="C18" s="755"/>
      <c r="D18" s="756"/>
      <c r="E18" s="245" t="s">
        <v>7</v>
      </c>
      <c r="F18" s="248">
        <f>IF(F12+F15=0,0,F15/(F12+F15))</f>
        <v>0.15595570857876362</v>
      </c>
      <c r="G18" s="249">
        <f>IF(G12+G15=0,0,G15/(G12+G15))</f>
        <v>0.28169358068833467</v>
      </c>
      <c r="H18" s="250"/>
    </row>
    <row r="19" spans="1:8" s="247" customFormat="1" ht="30" customHeight="1">
      <c r="A19" s="185">
        <v>6</v>
      </c>
      <c r="B19" s="754" t="s">
        <v>75</v>
      </c>
      <c r="C19" s="755"/>
      <c r="D19" s="756"/>
      <c r="E19" s="245" t="s">
        <v>7</v>
      </c>
      <c r="F19" s="71">
        <v>3.9100000000000003E-2</v>
      </c>
      <c r="G19" s="681">
        <v>3.9100000000000003E-2</v>
      </c>
      <c r="H19" s="251"/>
    </row>
    <row r="20" spans="1:8" s="247" customFormat="1" ht="15">
      <c r="A20" s="185">
        <v>7</v>
      </c>
      <c r="B20" s="754" t="s">
        <v>76</v>
      </c>
      <c r="C20" s="755"/>
      <c r="D20" s="756"/>
      <c r="E20" s="245" t="s">
        <v>7</v>
      </c>
      <c r="F20" s="71">
        <v>0.1</v>
      </c>
      <c r="G20" s="681">
        <v>0.1</v>
      </c>
      <c r="H20" s="254"/>
    </row>
    <row r="21" spans="1:8" ht="13.5" thickBot="1">
      <c r="A21" s="255">
        <v>8</v>
      </c>
      <c r="B21" s="759" t="s">
        <v>77</v>
      </c>
      <c r="C21" s="760"/>
      <c r="D21" s="761"/>
      <c r="E21" s="256" t="s">
        <v>7</v>
      </c>
      <c r="F21" s="257">
        <f>ROUND(F19*F18+F14*F13*(F20/(1-F20)+1),4)</f>
        <v>7.17E-2</v>
      </c>
      <c r="G21" s="258">
        <f>ROUND(G19*G18+G14*G13*(G20/(1-G20)+1),4)</f>
        <v>6.6900000000000001E-2</v>
      </c>
      <c r="H21" s="259"/>
    </row>
    <row r="22" spans="1:8" ht="13.5" thickTop="1"/>
    <row r="23" spans="1:8"/>
    <row r="24" spans="1:8">
      <c r="B24" s="753" t="s">
        <v>777</v>
      </c>
      <c r="C24" s="753"/>
      <c r="D24" s="753"/>
      <c r="E24" s="753"/>
    </row>
    <row r="25" spans="1:8" ht="13.5" thickBot="1">
      <c r="B25" s="260"/>
      <c r="C25" s="260"/>
      <c r="D25" s="260"/>
      <c r="E25" s="260"/>
    </row>
    <row r="26" spans="1:8" ht="26.25" customHeight="1" thickTop="1">
      <c r="A26" s="762" t="s">
        <v>0</v>
      </c>
      <c r="B26" s="764" t="s">
        <v>276</v>
      </c>
      <c r="C26" s="764" t="s">
        <v>441</v>
      </c>
      <c r="D26" s="764" t="s">
        <v>439</v>
      </c>
      <c r="E26" s="757" t="s">
        <v>440</v>
      </c>
      <c r="F26" s="261" t="s">
        <v>278</v>
      </c>
      <c r="G26" s="513" t="s">
        <v>701</v>
      </c>
    </row>
    <row r="27" spans="1:8" ht="26.25" customHeight="1">
      <c r="A27" s="763"/>
      <c r="B27" s="765"/>
      <c r="C27" s="765"/>
      <c r="D27" s="765"/>
      <c r="E27" s="758"/>
      <c r="F27" s="263" t="str">
        <f>'ТИП-ПРОИЗ'!$E$5</f>
        <v>ОТЧЕТ</v>
      </c>
      <c r="G27" s="518" t="str">
        <f>G10</f>
        <v>Към 31.12.2019 г.</v>
      </c>
    </row>
    <row r="28" spans="1:8" ht="12.75" customHeight="1">
      <c r="A28" s="262">
        <v>4</v>
      </c>
      <c r="B28" s="264" t="s">
        <v>281</v>
      </c>
      <c r="C28" s="265">
        <f>SUM(C29,C34)</f>
        <v>28835</v>
      </c>
      <c r="D28" s="265"/>
      <c r="E28" s="266">
        <f>IF(C28=0,0,SUM(C29*E29,C34*E34)/C28)</f>
        <v>0.06</v>
      </c>
      <c r="F28" s="267">
        <f>SUM(F29,F34)</f>
        <v>0</v>
      </c>
      <c r="G28" s="514">
        <f>SUM(G29,G34)</f>
        <v>28835</v>
      </c>
    </row>
    <row r="29" spans="1:8">
      <c r="A29" s="176" t="s">
        <v>251</v>
      </c>
      <c r="B29" s="268" t="s">
        <v>279</v>
      </c>
      <c r="C29" s="269">
        <f>SUM(C30:C33)</f>
        <v>0</v>
      </c>
      <c r="D29" s="269"/>
      <c r="E29" s="266">
        <f>ROUND(IF(C29=0,0,SUMPRODUCT(C30:C33,E30:E33)/C29),4)</f>
        <v>0</v>
      </c>
      <c r="F29" s="270">
        <f>SUM(F30:F33)</f>
        <v>0</v>
      </c>
      <c r="G29" s="271">
        <f>SUM(G30:G33)</f>
        <v>0</v>
      </c>
    </row>
    <row r="30" spans="1:8">
      <c r="A30" s="185"/>
      <c r="B30" s="197" t="s">
        <v>277</v>
      </c>
      <c r="C30" s="48"/>
      <c r="D30" s="48"/>
      <c r="E30" s="49"/>
      <c r="F30" s="48"/>
      <c r="G30" s="515">
        <f>SUM(C30,-F30)</f>
        <v>0</v>
      </c>
    </row>
    <row r="31" spans="1:8" ht="15" customHeight="1">
      <c r="A31" s="185"/>
      <c r="B31" s="197" t="s">
        <v>277</v>
      </c>
      <c r="C31" s="48"/>
      <c r="D31" s="48"/>
      <c r="E31" s="49"/>
      <c r="F31" s="48"/>
      <c r="G31" s="515">
        <f>SUM(C31,-F31)</f>
        <v>0</v>
      </c>
    </row>
    <row r="32" spans="1:8" ht="15" customHeight="1">
      <c r="A32" s="185"/>
      <c r="B32" s="197" t="s">
        <v>277</v>
      </c>
      <c r="C32" s="48"/>
      <c r="D32" s="48"/>
      <c r="E32" s="49"/>
      <c r="F32" s="48"/>
      <c r="G32" s="515">
        <f>SUM(C32,-F32)</f>
        <v>0</v>
      </c>
    </row>
    <row r="33" spans="1:10" ht="15" customHeight="1">
      <c r="A33" s="185"/>
      <c r="B33" s="197" t="s">
        <v>277</v>
      </c>
      <c r="C33" s="48"/>
      <c r="D33" s="48"/>
      <c r="E33" s="49"/>
      <c r="F33" s="48"/>
      <c r="G33" s="515">
        <f>SUM(C33,-F33)</f>
        <v>0</v>
      </c>
    </row>
    <row r="34" spans="1:10" ht="12.75" customHeight="1">
      <c r="A34" s="176" t="s">
        <v>252</v>
      </c>
      <c r="B34" s="272" t="s">
        <v>280</v>
      </c>
      <c r="C34" s="273">
        <f>SUM(C35:C43)</f>
        <v>28835</v>
      </c>
      <c r="D34" s="273"/>
      <c r="E34" s="266">
        <f>ROUND(IF(C34=0,0,SUMPRODUCT(C35:C43,E35:E43)/C34),4)</f>
        <v>0.06</v>
      </c>
      <c r="F34" s="270">
        <f>SUM(F35:F43)</f>
        <v>0</v>
      </c>
      <c r="G34" s="271">
        <f>SUM(G35:G43)</f>
        <v>28835</v>
      </c>
    </row>
    <row r="35" spans="1:10">
      <c r="A35" s="185"/>
      <c r="B35" s="197" t="s">
        <v>277</v>
      </c>
      <c r="C35" s="48">
        <v>4000</v>
      </c>
      <c r="D35" s="48"/>
      <c r="E35" s="49">
        <v>0.06</v>
      </c>
      <c r="F35" s="48"/>
      <c r="G35" s="515">
        <f t="shared" ref="G35:G43" si="0">SUM(C35,-F35)</f>
        <v>4000</v>
      </c>
    </row>
    <row r="36" spans="1:10">
      <c r="A36" s="185"/>
      <c r="B36" s="197" t="s">
        <v>277</v>
      </c>
      <c r="C36" s="48">
        <v>24835</v>
      </c>
      <c r="D36" s="48"/>
      <c r="E36" s="49">
        <v>0.06</v>
      </c>
      <c r="F36" s="48"/>
      <c r="G36" s="515">
        <f t="shared" si="0"/>
        <v>24835</v>
      </c>
    </row>
    <row r="37" spans="1:10">
      <c r="A37" s="185"/>
      <c r="B37" s="197" t="s">
        <v>277</v>
      </c>
      <c r="C37" s="48"/>
      <c r="D37" s="48"/>
      <c r="E37" s="49"/>
      <c r="F37" s="48"/>
      <c r="G37" s="515">
        <f t="shared" si="0"/>
        <v>0</v>
      </c>
    </row>
    <row r="38" spans="1:10">
      <c r="A38" s="185"/>
      <c r="B38" s="197" t="s">
        <v>277</v>
      </c>
      <c r="C38" s="48"/>
      <c r="D38" s="48"/>
      <c r="E38" s="49"/>
      <c r="F38" s="48"/>
      <c r="G38" s="515">
        <f t="shared" si="0"/>
        <v>0</v>
      </c>
    </row>
    <row r="39" spans="1:10">
      <c r="A39" s="185"/>
      <c r="B39" s="197" t="s">
        <v>277</v>
      </c>
      <c r="C39" s="48"/>
      <c r="D39" s="48"/>
      <c r="E39" s="49"/>
      <c r="F39" s="48"/>
      <c r="G39" s="515">
        <f t="shared" si="0"/>
        <v>0</v>
      </c>
    </row>
    <row r="40" spans="1:10">
      <c r="A40" s="185"/>
      <c r="B40" s="197" t="s">
        <v>277</v>
      </c>
      <c r="C40" s="48"/>
      <c r="D40" s="48"/>
      <c r="E40" s="49"/>
      <c r="F40" s="48"/>
      <c r="G40" s="515">
        <f t="shared" si="0"/>
        <v>0</v>
      </c>
    </row>
    <row r="41" spans="1:10">
      <c r="A41" s="185"/>
      <c r="B41" s="197" t="s">
        <v>277</v>
      </c>
      <c r="C41" s="48"/>
      <c r="D41" s="48"/>
      <c r="E41" s="49"/>
      <c r="F41" s="48"/>
      <c r="G41" s="515">
        <f t="shared" si="0"/>
        <v>0</v>
      </c>
    </row>
    <row r="42" spans="1:10">
      <c r="A42" s="185"/>
      <c r="B42" s="197" t="s">
        <v>277</v>
      </c>
      <c r="C42" s="48"/>
      <c r="D42" s="48"/>
      <c r="E42" s="49"/>
      <c r="F42" s="48"/>
      <c r="G42" s="515">
        <f t="shared" si="0"/>
        <v>0</v>
      </c>
    </row>
    <row r="43" spans="1:10" ht="13.5" thickBot="1">
      <c r="A43" s="274"/>
      <c r="B43" s="275" t="s">
        <v>277</v>
      </c>
      <c r="C43" s="50"/>
      <c r="D43" s="50"/>
      <c r="E43" s="51"/>
      <c r="F43" s="50"/>
      <c r="G43" s="516">
        <f t="shared" si="0"/>
        <v>0</v>
      </c>
    </row>
    <row r="44" spans="1:10" ht="13.5" thickTop="1">
      <c r="H44" s="132"/>
      <c r="I44" s="132"/>
    </row>
    <row r="45" spans="1:10" ht="15">
      <c r="A45" s="276" t="s">
        <v>98</v>
      </c>
      <c r="B45" s="277"/>
      <c r="C45" s="129"/>
      <c r="D45" s="129"/>
      <c r="E45" s="103"/>
      <c r="F45" s="103"/>
      <c r="G45" s="103"/>
      <c r="H45" s="102"/>
      <c r="I45" s="102"/>
      <c r="J45" s="102"/>
    </row>
    <row r="46" spans="1:10" ht="15">
      <c r="A46" s="278" t="s">
        <v>179</v>
      </c>
      <c r="B46" s="752" t="s">
        <v>323</v>
      </c>
      <c r="C46" s="752"/>
      <c r="D46" s="752"/>
      <c r="E46" s="752"/>
      <c r="F46" s="752"/>
      <c r="G46" s="752"/>
      <c r="H46" s="280"/>
      <c r="I46" s="280"/>
      <c r="J46" s="280"/>
    </row>
    <row r="47" spans="1:10" ht="15">
      <c r="A47" s="278"/>
      <c r="B47" s="279"/>
      <c r="C47" s="279"/>
      <c r="D47" s="279"/>
      <c r="E47" s="279"/>
      <c r="F47" s="279"/>
      <c r="G47" s="279"/>
      <c r="H47" s="280"/>
      <c r="I47" s="280"/>
      <c r="J47" s="280"/>
    </row>
    <row r="48" spans="1:10" ht="15">
      <c r="A48" s="278"/>
      <c r="B48" s="279"/>
      <c r="C48" s="279"/>
      <c r="D48" s="279"/>
      <c r="E48" s="279"/>
      <c r="F48" s="279"/>
      <c r="G48" s="279"/>
      <c r="H48" s="280"/>
      <c r="I48" s="280"/>
      <c r="J48" s="280"/>
    </row>
    <row r="49" spans="1:10" ht="15">
      <c r="A49" s="278"/>
      <c r="B49" s="279"/>
      <c r="C49" s="279"/>
      <c r="D49" s="279"/>
      <c r="E49" s="279"/>
      <c r="F49" s="279"/>
      <c r="G49" s="279"/>
      <c r="H49" s="280"/>
      <c r="I49" s="280"/>
      <c r="J49" s="280"/>
    </row>
    <row r="50" spans="1:10" ht="15">
      <c r="A50" s="278"/>
      <c r="B50" s="279"/>
      <c r="C50" s="279"/>
      <c r="D50" s="279"/>
      <c r="E50" s="279"/>
      <c r="F50" s="279"/>
      <c r="G50" s="279"/>
      <c r="H50" s="280"/>
      <c r="I50" s="280"/>
      <c r="J50" s="280"/>
    </row>
    <row r="51" spans="1:10"/>
    <row r="52" spans="1:10" ht="15.75">
      <c r="A52" s="129" t="str">
        <f>Разходи!$A$91</f>
        <v xml:space="preserve">Ръководител ФИД: </v>
      </c>
      <c r="B52" s="281"/>
      <c r="C52" s="281"/>
      <c r="D52" s="281"/>
      <c r="E52" s="131" t="str">
        <f>Разходи!$E$91</f>
        <v>Изп. директор:</v>
      </c>
    </row>
    <row r="53" spans="1:10"/>
    <row r="54" spans="1:10">
      <c r="A54" s="129"/>
      <c r="B54" s="282" t="str">
        <f>Разходи!$B$93</f>
        <v>/ П.Петрова /</v>
      </c>
      <c r="C54" s="282"/>
      <c r="D54" s="282"/>
      <c r="E54" s="102"/>
      <c r="F54" s="751" t="str">
        <f>Разходи!$F$93</f>
        <v xml:space="preserve"> /С.Желев/</v>
      </c>
      <c r="G54" s="751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:E1"/>
    <mergeCell ref="B4:E4"/>
    <mergeCell ref="B5:E5"/>
    <mergeCell ref="B18:D18"/>
    <mergeCell ref="B10:D10"/>
    <mergeCell ref="B11:D11"/>
    <mergeCell ref="B12:D12"/>
    <mergeCell ref="B13:D13"/>
    <mergeCell ref="B14:D14"/>
    <mergeCell ref="A26:A27"/>
    <mergeCell ref="B26:B27"/>
    <mergeCell ref="C26:C27"/>
    <mergeCell ref="D26:D27"/>
    <mergeCell ref="B15:D15"/>
    <mergeCell ref="B20:D20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="90" zoomScaleNormal="90" workbookViewId="0">
      <pane ySplit="7" topLeftCell="A8" activePane="bottomLeft" state="frozen"/>
      <selection activeCell="G110" sqref="G110"/>
      <selection pane="bottomLeft" activeCell="B5" sqref="B5:B6"/>
    </sheetView>
  </sheetViews>
  <sheetFormatPr defaultColWidth="0" defaultRowHeight="12.75" zeroHeight="1"/>
  <cols>
    <col min="1" max="1" width="5.5703125" style="103" customWidth="1"/>
    <col min="2" max="2" width="75.42578125" style="129" customWidth="1"/>
    <col min="3" max="3" width="10.5703125" style="103" customWidth="1"/>
    <col min="4" max="4" width="10" style="103" customWidth="1"/>
    <col min="5" max="5" width="15.5703125" style="129" customWidth="1"/>
    <col min="6" max="6" width="15.140625" style="129" customWidth="1"/>
    <col min="7" max="7" width="15.5703125" style="129" customWidth="1"/>
    <col min="8" max="16384" width="0" style="129" hidden="1"/>
  </cols>
  <sheetData>
    <row r="1" spans="1:7" ht="18.75">
      <c r="A1" s="149"/>
      <c r="B1" s="786">
        <v>4</v>
      </c>
      <c r="C1" s="786"/>
      <c r="D1" s="328"/>
      <c r="E1" s="329"/>
      <c r="F1" s="130" t="s">
        <v>682</v>
      </c>
    </row>
    <row r="2" spans="1:7">
      <c r="A2" s="149"/>
      <c r="B2" s="787" t="s">
        <v>218</v>
      </c>
      <c r="C2" s="787"/>
      <c r="D2" s="149"/>
      <c r="E2" s="330"/>
      <c r="F2" s="330"/>
    </row>
    <row r="3" spans="1:7">
      <c r="A3" s="149"/>
      <c r="B3" s="81" t="s">
        <v>768</v>
      </c>
      <c r="C3" s="149"/>
      <c r="D3" s="149"/>
      <c r="E3" s="330"/>
      <c r="F3"/>
    </row>
    <row r="4" spans="1:7" ht="12.75" customHeight="1" thickBot="1">
      <c r="B4" s="331"/>
      <c r="C4" s="332"/>
      <c r="F4" s="204"/>
    </row>
    <row r="5" spans="1:7" ht="32.25" customHeight="1" thickTop="1">
      <c r="A5" s="775" t="s">
        <v>0</v>
      </c>
      <c r="B5" s="777">
        <v>7.202</v>
      </c>
      <c r="C5" s="781" t="s">
        <v>42</v>
      </c>
      <c r="D5" s="783" t="s">
        <v>14</v>
      </c>
      <c r="E5" s="335" t="s">
        <v>332</v>
      </c>
      <c r="F5" s="336" t="s">
        <v>752</v>
      </c>
    </row>
    <row r="6" spans="1:7" ht="15.75">
      <c r="A6" s="776"/>
      <c r="B6" s="778"/>
      <c r="C6" s="782"/>
      <c r="D6" s="784"/>
      <c r="E6" s="337">
        <f>($B$5-7.0001)*10000</f>
        <v>2019.0000000000018</v>
      </c>
      <c r="F6" s="647">
        <f>$B$5</f>
        <v>7.202</v>
      </c>
    </row>
    <row r="7" spans="1:7">
      <c r="A7" s="338">
        <v>1</v>
      </c>
      <c r="B7" s="339">
        <v>2</v>
      </c>
      <c r="C7" s="340">
        <v>3</v>
      </c>
      <c r="D7" s="340">
        <v>4</v>
      </c>
      <c r="E7" s="341">
        <v>5</v>
      </c>
      <c r="F7" s="520">
        <v>6</v>
      </c>
    </row>
    <row r="8" spans="1:7" s="199" customFormat="1" ht="15" customHeight="1">
      <c r="A8" s="373">
        <v>1</v>
      </c>
      <c r="B8" s="342" t="s">
        <v>534</v>
      </c>
      <c r="C8" s="343" t="s">
        <v>221</v>
      </c>
      <c r="D8" s="104" t="s">
        <v>70</v>
      </c>
      <c r="E8" s="344">
        <f>SUM(E9:E10)</f>
        <v>528597.81173820258</v>
      </c>
      <c r="F8" s="426">
        <f>SUM(F9:F10)</f>
        <v>554123.57072511269</v>
      </c>
      <c r="G8" s="129"/>
    </row>
    <row r="9" spans="1:7" s="199" customFormat="1" ht="15.75">
      <c r="A9" s="356" t="s">
        <v>255</v>
      </c>
      <c r="B9" s="346" t="s">
        <v>535</v>
      </c>
      <c r="C9" s="343" t="s">
        <v>473</v>
      </c>
      <c r="D9" s="104" t="s">
        <v>70</v>
      </c>
      <c r="E9" s="347">
        <f>SUM(E12,'ТИП-ПРЕНОС'!D12)</f>
        <v>510515.1797382026</v>
      </c>
      <c r="F9" s="427">
        <f>SUM(F12,'ТИП-ПРЕНОС'!E12)</f>
        <v>536040.9387251127</v>
      </c>
      <c r="G9" s="129"/>
    </row>
    <row r="10" spans="1:7" s="199" customFormat="1" ht="15.75">
      <c r="A10" s="356" t="s">
        <v>256</v>
      </c>
      <c r="B10" s="346" t="s">
        <v>536</v>
      </c>
      <c r="C10" s="343" t="s">
        <v>474</v>
      </c>
      <c r="D10" s="104" t="s">
        <v>70</v>
      </c>
      <c r="E10" s="347">
        <f>SUM(E13,'ТИП-ПРЕНОС'!D33)</f>
        <v>18082.631999999998</v>
      </c>
      <c r="F10" s="427">
        <f>SUM(F13,'ТИП-ПРЕНОС'!E33)</f>
        <v>18082.631999999998</v>
      </c>
      <c r="G10" s="129"/>
    </row>
    <row r="11" spans="1:7" s="199" customFormat="1" ht="15.75">
      <c r="A11" s="373">
        <v>2</v>
      </c>
      <c r="B11" s="348" t="s">
        <v>505</v>
      </c>
      <c r="C11" s="343" t="s">
        <v>397</v>
      </c>
      <c r="D11" s="104" t="s">
        <v>70</v>
      </c>
      <c r="E11" s="349">
        <f>SUM(E12:E13)</f>
        <v>0</v>
      </c>
      <c r="F11" s="428">
        <f>SUM(F12:F13)</f>
        <v>0</v>
      </c>
      <c r="G11" s="129"/>
    </row>
    <row r="12" spans="1:7" s="199" customFormat="1" ht="15.75">
      <c r="A12" s="373" t="s">
        <v>271</v>
      </c>
      <c r="B12" s="346" t="s">
        <v>20</v>
      </c>
      <c r="C12" s="343" t="s">
        <v>475</v>
      </c>
      <c r="D12" s="104" t="s">
        <v>70</v>
      </c>
      <c r="E12" s="88"/>
      <c r="F12" s="429"/>
      <c r="G12" s="129"/>
    </row>
    <row r="13" spans="1:7" s="199" customFormat="1" ht="15.75">
      <c r="A13" s="373" t="s">
        <v>272</v>
      </c>
      <c r="B13" s="346" t="s">
        <v>222</v>
      </c>
      <c r="C13" s="343" t="s">
        <v>476</v>
      </c>
      <c r="D13" s="104" t="s">
        <v>70</v>
      </c>
      <c r="E13" s="88"/>
      <c r="F13" s="429"/>
      <c r="G13" s="129"/>
    </row>
    <row r="14" spans="1:7" s="199" customFormat="1" ht="15.75">
      <c r="A14" s="373">
        <v>3</v>
      </c>
      <c r="B14" s="348" t="s">
        <v>192</v>
      </c>
      <c r="C14" s="343" t="s">
        <v>397</v>
      </c>
      <c r="D14" s="104" t="s">
        <v>70</v>
      </c>
      <c r="E14" s="350">
        <f>SUM(E15:E16)</f>
        <v>92663.350815482059</v>
      </c>
      <c r="F14" s="430">
        <f>SUM(F15:F16)</f>
        <v>95471.209419526785</v>
      </c>
      <c r="G14" s="129"/>
    </row>
    <row r="15" spans="1:7" s="199" customFormat="1" ht="15.75">
      <c r="A15" s="373" t="s">
        <v>260</v>
      </c>
      <c r="B15" s="346" t="s">
        <v>20</v>
      </c>
      <c r="C15" s="343" t="s">
        <v>475</v>
      </c>
      <c r="D15" s="104" t="s">
        <v>70</v>
      </c>
      <c r="E15" s="82">
        <v>56157.17208089475</v>
      </c>
      <c r="F15" s="420">
        <v>58965.030684939469</v>
      </c>
      <c r="G15" s="129"/>
    </row>
    <row r="16" spans="1:7" s="199" customFormat="1" ht="15.75">
      <c r="A16" s="373" t="s">
        <v>261</v>
      </c>
      <c r="B16" s="346" t="s">
        <v>222</v>
      </c>
      <c r="C16" s="343" t="s">
        <v>476</v>
      </c>
      <c r="D16" s="104" t="s">
        <v>70</v>
      </c>
      <c r="E16" s="82">
        <v>36506.178734587316</v>
      </c>
      <c r="F16" s="420">
        <v>36506.178734587316</v>
      </c>
      <c r="G16" s="129"/>
    </row>
    <row r="17" spans="1:7" s="199" customFormat="1" ht="15.75">
      <c r="A17" s="373">
        <v>4</v>
      </c>
      <c r="B17" s="348" t="s">
        <v>192</v>
      </c>
      <c r="C17" s="343" t="s">
        <v>397</v>
      </c>
      <c r="D17" s="104" t="s">
        <v>7</v>
      </c>
      <c r="E17" s="351">
        <f t="shared" ref="E17:F19" si="0">IF(E20=0,0,E14/E20)</f>
        <v>0.14915361912306052</v>
      </c>
      <c r="F17" s="431">
        <f t="shared" si="0"/>
        <v>0.14697040730264035</v>
      </c>
      <c r="G17" s="129"/>
    </row>
    <row r="18" spans="1:7" s="199" customFormat="1" ht="15.75">
      <c r="A18" s="373" t="s">
        <v>251</v>
      </c>
      <c r="B18" s="346" t="s">
        <v>20</v>
      </c>
      <c r="C18" s="343" t="s">
        <v>475</v>
      </c>
      <c r="D18" s="104" t="s">
        <v>7</v>
      </c>
      <c r="E18" s="351">
        <f t="shared" si="0"/>
        <v>9.9099897675654011E-2</v>
      </c>
      <c r="F18" s="431">
        <f t="shared" si="0"/>
        <v>9.909989767565397E-2</v>
      </c>
      <c r="G18" s="129"/>
    </row>
    <row r="19" spans="1:7" s="199" customFormat="1" ht="15.75">
      <c r="A19" s="373" t="s">
        <v>252</v>
      </c>
      <c r="B19" s="346" t="s">
        <v>222</v>
      </c>
      <c r="C19" s="343" t="s">
        <v>476</v>
      </c>
      <c r="D19" s="104" t="s">
        <v>7</v>
      </c>
      <c r="E19" s="351">
        <f t="shared" si="0"/>
        <v>0.66874837981141633</v>
      </c>
      <c r="F19" s="431">
        <f t="shared" si="0"/>
        <v>0.66874837981141633</v>
      </c>
      <c r="G19" s="129"/>
    </row>
    <row r="20" spans="1:7" ht="15.75">
      <c r="A20" s="356">
        <v>5</v>
      </c>
      <c r="B20" s="348" t="s">
        <v>538</v>
      </c>
      <c r="C20" s="104" t="s">
        <v>220</v>
      </c>
      <c r="D20" s="104" t="s">
        <v>70</v>
      </c>
      <c r="E20" s="344">
        <f>SUM(E21:E22)</f>
        <v>621261.16255368455</v>
      </c>
      <c r="F20" s="426">
        <f>SUM(F21:F22)</f>
        <v>649594.78014463955</v>
      </c>
    </row>
    <row r="21" spans="1:7" ht="15.75">
      <c r="A21" s="356" t="s">
        <v>262</v>
      </c>
      <c r="B21" s="346" t="s">
        <v>20</v>
      </c>
      <c r="C21" s="104" t="s">
        <v>343</v>
      </c>
      <c r="D21" s="104" t="s">
        <v>70</v>
      </c>
      <c r="E21" s="352">
        <f>SUM(E9,E15)</f>
        <v>566672.3518190973</v>
      </c>
      <c r="F21" s="432">
        <f>SUM(F9,F15)</f>
        <v>595005.96941005217</v>
      </c>
    </row>
    <row r="22" spans="1:7" ht="16.5" thickBot="1">
      <c r="A22" s="356" t="s">
        <v>263</v>
      </c>
      <c r="B22" s="346" t="s">
        <v>222</v>
      </c>
      <c r="C22" s="104" t="s">
        <v>344</v>
      </c>
      <c r="D22" s="104" t="s">
        <v>70</v>
      </c>
      <c r="E22" s="352">
        <f>SUM(E10,E16)</f>
        <v>54588.810734587314</v>
      </c>
      <c r="F22" s="432">
        <f>SUM(F10,F16)</f>
        <v>54588.810734587314</v>
      </c>
    </row>
    <row r="23" spans="1:7" ht="13.5" thickTop="1">
      <c r="A23" s="333"/>
      <c r="B23" s="353" t="s">
        <v>464</v>
      </c>
      <c r="C23" s="334" t="s">
        <v>42</v>
      </c>
      <c r="D23" s="334" t="s">
        <v>14</v>
      </c>
      <c r="E23" s="354"/>
      <c r="F23" s="355"/>
    </row>
    <row r="24" spans="1:7" ht="15.75">
      <c r="A24" s="356">
        <v>6</v>
      </c>
      <c r="B24" s="348" t="s">
        <v>469</v>
      </c>
      <c r="C24" s="104" t="s">
        <v>738</v>
      </c>
      <c r="D24" s="108" t="s">
        <v>70</v>
      </c>
      <c r="E24" s="357">
        <f>SUM(E25:E26)</f>
        <v>621261.16255368455</v>
      </c>
      <c r="F24" s="358">
        <f>SUM(F25:F26)</f>
        <v>649594.78014463955</v>
      </c>
    </row>
    <row r="25" spans="1:7" ht="15.75">
      <c r="A25" s="356" t="s">
        <v>500</v>
      </c>
      <c r="B25" s="346" t="s">
        <v>20</v>
      </c>
      <c r="C25" s="104" t="s">
        <v>466</v>
      </c>
      <c r="D25" s="108" t="s">
        <v>70</v>
      </c>
      <c r="E25" s="420">
        <v>566672.3518190973</v>
      </c>
      <c r="F25" s="420">
        <v>595005.96941005217</v>
      </c>
    </row>
    <row r="26" spans="1:7" ht="15.75">
      <c r="A26" s="356" t="s">
        <v>501</v>
      </c>
      <c r="B26" s="346" t="s">
        <v>222</v>
      </c>
      <c r="C26" s="104" t="s">
        <v>465</v>
      </c>
      <c r="D26" s="108" t="s">
        <v>70</v>
      </c>
      <c r="E26" s="420">
        <v>54588.810734587314</v>
      </c>
      <c r="F26" s="420">
        <v>54588.810734587314</v>
      </c>
    </row>
    <row r="27" spans="1:7" ht="15.75">
      <c r="A27" s="356">
        <v>7</v>
      </c>
      <c r="B27" s="359" t="s">
        <v>190</v>
      </c>
      <c r="C27" s="345" t="s">
        <v>15</v>
      </c>
      <c r="D27" s="345" t="s">
        <v>70</v>
      </c>
      <c r="E27" s="86">
        <v>268903.67999999999</v>
      </c>
      <c r="F27" s="433">
        <v>279719.5006934813</v>
      </c>
    </row>
    <row r="28" spans="1:7">
      <c r="A28" s="356" t="s">
        <v>506</v>
      </c>
      <c r="B28" s="360" t="s">
        <v>410</v>
      </c>
      <c r="C28" s="345" t="s">
        <v>411</v>
      </c>
      <c r="D28" s="345" t="s">
        <v>70</v>
      </c>
      <c r="E28" s="82">
        <v>261121.56995233957</v>
      </c>
      <c r="F28" s="420">
        <v>271624</v>
      </c>
      <c r="G28" s="685"/>
    </row>
    <row r="29" spans="1:7">
      <c r="A29" s="356" t="s">
        <v>507</v>
      </c>
      <c r="B29" s="360" t="s">
        <v>346</v>
      </c>
      <c r="C29" s="345" t="s">
        <v>345</v>
      </c>
      <c r="D29" s="345" t="s">
        <v>70</v>
      </c>
      <c r="E29" s="352">
        <f>SUM(E27,-E30)</f>
        <v>264158.89799999993</v>
      </c>
      <c r="F29" s="432">
        <f>SUM(F27,-F30)</f>
        <v>275399.5006934813</v>
      </c>
    </row>
    <row r="30" spans="1:7">
      <c r="A30" s="356" t="s">
        <v>508</v>
      </c>
      <c r="B30" s="360" t="s">
        <v>623</v>
      </c>
      <c r="C30" s="345" t="s">
        <v>488</v>
      </c>
      <c r="D30" s="345" t="s">
        <v>70</v>
      </c>
      <c r="E30" s="82">
        <v>4744.7820000000538</v>
      </c>
      <c r="F30" s="420">
        <v>4320</v>
      </c>
    </row>
    <row r="31" spans="1:7" ht="14.25">
      <c r="A31" s="356">
        <v>8</v>
      </c>
      <c r="B31" s="361" t="s">
        <v>494</v>
      </c>
      <c r="C31" s="345" t="s">
        <v>418</v>
      </c>
      <c r="D31" s="345" t="s">
        <v>374</v>
      </c>
      <c r="E31" s="347">
        <f>E32*860/7000</f>
        <v>137714.29916</v>
      </c>
      <c r="F31" s="427">
        <f>F32*860/7000</f>
        <v>143989.04676285712</v>
      </c>
    </row>
    <row r="32" spans="1:7" ht="15.75">
      <c r="A32" s="356">
        <v>9</v>
      </c>
      <c r="B32" s="361" t="s">
        <v>492</v>
      </c>
      <c r="C32" s="345" t="s">
        <v>727</v>
      </c>
      <c r="D32" s="104" t="s">
        <v>70</v>
      </c>
      <c r="E32" s="350">
        <f>ROUND(SUMPRODUCT(E33:E37,E$75:E$79)/860,3)</f>
        <v>1120930.3419999999</v>
      </c>
      <c r="F32" s="430">
        <f>ROUND(SUMPRODUCT(F33:F37,F$75:F$79)/860,3)</f>
        <v>1172003.8689999999</v>
      </c>
      <c r="G32" s="362"/>
    </row>
    <row r="33" spans="1:7" ht="15.75">
      <c r="A33" s="356" t="s">
        <v>509</v>
      </c>
      <c r="B33" s="205" t="s">
        <v>9</v>
      </c>
      <c r="C33" s="104" t="s">
        <v>21</v>
      </c>
      <c r="D33" s="104" t="s">
        <v>372</v>
      </c>
      <c r="E33" s="82">
        <v>759.00880000000006</v>
      </c>
      <c r="F33" s="420">
        <v>20085</v>
      </c>
      <c r="G33" s="363"/>
    </row>
    <row r="34" spans="1:7">
      <c r="A34" s="356" t="s">
        <v>510</v>
      </c>
      <c r="B34" s="205" t="s">
        <v>10</v>
      </c>
      <c r="C34" s="104" t="s">
        <v>22</v>
      </c>
      <c r="D34" s="104" t="s">
        <v>23</v>
      </c>
      <c r="E34" s="82">
        <v>95.83</v>
      </c>
      <c r="F34" s="420">
        <v>100</v>
      </c>
    </row>
    <row r="35" spans="1:7">
      <c r="A35" s="356" t="s">
        <v>511</v>
      </c>
      <c r="B35" s="205" t="s">
        <v>12</v>
      </c>
      <c r="C35" s="104" t="s">
        <v>24</v>
      </c>
      <c r="D35" s="104" t="s">
        <v>23</v>
      </c>
      <c r="E35" s="82"/>
      <c r="F35" s="420"/>
      <c r="G35" s="362"/>
    </row>
    <row r="36" spans="1:7">
      <c r="A36" s="356" t="s">
        <v>512</v>
      </c>
      <c r="B36" s="205" t="s">
        <v>11</v>
      </c>
      <c r="C36" s="104" t="s">
        <v>25</v>
      </c>
      <c r="D36" s="104" t="s">
        <v>23</v>
      </c>
      <c r="E36" s="82">
        <v>94835.42300000001</v>
      </c>
      <c r="F36" s="420">
        <v>142169.15483439781</v>
      </c>
      <c r="G36" s="362"/>
    </row>
    <row r="37" spans="1:7" ht="15.75">
      <c r="A37" s="356" t="s">
        <v>513</v>
      </c>
      <c r="B37" s="425" t="s">
        <v>369</v>
      </c>
      <c r="C37" s="104" t="s">
        <v>415</v>
      </c>
      <c r="D37" s="104" t="s">
        <v>431</v>
      </c>
      <c r="E37" s="82">
        <v>112968</v>
      </c>
      <c r="F37" s="420">
        <v>21000</v>
      </c>
      <c r="G37" s="363"/>
    </row>
    <row r="38" spans="1:7" ht="14.25">
      <c r="A38" s="356">
        <v>10</v>
      </c>
      <c r="B38" s="365">
        <f>B93</f>
        <v>0.6</v>
      </c>
      <c r="C38" s="345" t="s">
        <v>504</v>
      </c>
      <c r="D38" s="345" t="s">
        <v>349</v>
      </c>
      <c r="E38" s="654">
        <f>E33*E$80/860*3.6*(1-Коефициенти!E22)</f>
        <v>18863.628055032561</v>
      </c>
      <c r="F38" s="654">
        <f>F33*F$80/860*3.6*(1-Коефициенти!F22)</f>
        <v>499172.03790697671</v>
      </c>
    </row>
    <row r="39" spans="1:7" ht="14.25">
      <c r="A39" s="356">
        <v>11</v>
      </c>
      <c r="B39" s="366">
        <f>B94</f>
        <v>0.6</v>
      </c>
      <c r="C39" s="345" t="s">
        <v>420</v>
      </c>
      <c r="D39" s="345" t="s">
        <v>349</v>
      </c>
      <c r="E39" s="352">
        <f>E36*E$83/860*3.6*(1-Коефициенти!E22)</f>
        <v>1429028.6742129768</v>
      </c>
      <c r="F39" s="432">
        <f>F36*F$83/860*3.6*(1-Коефициенти!F22)</f>
        <v>2142277.562751831</v>
      </c>
    </row>
    <row r="40" spans="1:7" ht="15.75">
      <c r="A40" s="356">
        <v>12</v>
      </c>
      <c r="B40" s="361" t="s">
        <v>409</v>
      </c>
      <c r="C40" s="367" t="s">
        <v>471</v>
      </c>
      <c r="D40" s="367" t="s">
        <v>7</v>
      </c>
      <c r="E40" s="368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0.17326784671846807</v>
      </c>
      <c r="F40" s="434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0.17190188143358143</v>
      </c>
    </row>
    <row r="41" spans="1:7" ht="15.75">
      <c r="A41" s="356">
        <v>13</v>
      </c>
      <c r="B41" s="116" t="s">
        <v>472</v>
      </c>
      <c r="C41" s="104" t="s">
        <v>480</v>
      </c>
      <c r="D41" s="104" t="s">
        <v>7</v>
      </c>
      <c r="E41" s="369">
        <f>Коефициенти!E19</f>
        <v>0.71146391694177424</v>
      </c>
      <c r="F41" s="673">
        <f>Коефициенти!F19</f>
        <v>0.71146784876236113</v>
      </c>
    </row>
    <row r="42" spans="1:7" ht="15">
      <c r="A42" s="356">
        <v>14</v>
      </c>
      <c r="B42" s="371" t="s">
        <v>533</v>
      </c>
      <c r="C42" s="104" t="s">
        <v>481</v>
      </c>
      <c r="D42" s="108" t="s">
        <v>35</v>
      </c>
      <c r="E42" s="372">
        <f>ROUND(IF(E27=0,0,E31*Коефициенти!E24*1000/E27),2)</f>
        <v>179.25</v>
      </c>
      <c r="F42" s="436">
        <f>ROUND(IF(F27=0,0,F31*Коефициенти!F24*1000/F27),2)</f>
        <v>180.17</v>
      </c>
    </row>
    <row r="43" spans="1:7" ht="16.5" thickBot="1">
      <c r="A43" s="455">
        <v>15</v>
      </c>
      <c r="B43" s="464" t="s">
        <v>193</v>
      </c>
      <c r="C43" s="457" t="s">
        <v>482</v>
      </c>
      <c r="D43" s="465" t="s">
        <v>198</v>
      </c>
      <c r="E43" s="466">
        <f>IF(E24=0,0,ROUND(E31*(1-Коефициенти!E24)*1000/E24,2))</f>
        <v>144.08000000000001</v>
      </c>
      <c r="F43" s="467">
        <f>IF(F24=0,0,ROUND(F31*(1-Коефициенти!F24)*1000/F24,2))</f>
        <v>144.08000000000001</v>
      </c>
    </row>
    <row r="44" spans="1:7" ht="13.5" thickTop="1">
      <c r="A44" s="460"/>
      <c r="B44" s="461" t="s">
        <v>477</v>
      </c>
      <c r="C44" s="462"/>
      <c r="D44" s="463"/>
      <c r="E44" s="399"/>
      <c r="F44" s="445"/>
    </row>
    <row r="45" spans="1:7" ht="15.75">
      <c r="A45" s="373">
        <v>16</v>
      </c>
      <c r="B45" s="348" t="s">
        <v>478</v>
      </c>
      <c r="C45" s="104" t="s">
        <v>739</v>
      </c>
      <c r="D45" s="374" t="s">
        <v>70</v>
      </c>
      <c r="E45" s="375">
        <f>SUM(E46:E47)</f>
        <v>0</v>
      </c>
      <c r="F45" s="437">
        <f>SUM(F46:F47)</f>
        <v>0</v>
      </c>
    </row>
    <row r="46" spans="1:7" ht="15.75">
      <c r="A46" s="373" t="s">
        <v>602</v>
      </c>
      <c r="B46" s="346" t="s">
        <v>20</v>
      </c>
      <c r="C46" s="104" t="s">
        <v>466</v>
      </c>
      <c r="D46" s="374" t="s">
        <v>70</v>
      </c>
      <c r="E46" s="352">
        <f>SUM(E21,-E25)</f>
        <v>0</v>
      </c>
      <c r="F46" s="432">
        <f>SUM(F21,-F25)</f>
        <v>0</v>
      </c>
    </row>
    <row r="47" spans="1:7" ht="15.75">
      <c r="A47" s="373" t="s">
        <v>603</v>
      </c>
      <c r="B47" s="346" t="s">
        <v>222</v>
      </c>
      <c r="C47" s="104" t="s">
        <v>465</v>
      </c>
      <c r="D47" s="374" t="s">
        <v>70</v>
      </c>
      <c r="E47" s="352">
        <f>SUM(E22,-E26)</f>
        <v>0</v>
      </c>
      <c r="F47" s="432">
        <f>SUM(F22,-F26)</f>
        <v>0</v>
      </c>
    </row>
    <row r="48" spans="1:7">
      <c r="A48" s="373">
        <v>17</v>
      </c>
      <c r="B48" s="361" t="s">
        <v>495</v>
      </c>
      <c r="C48" s="345" t="s">
        <v>467</v>
      </c>
      <c r="D48" s="376" t="s">
        <v>468</v>
      </c>
      <c r="E48" s="347">
        <f>E49*860/7000</f>
        <v>0</v>
      </c>
      <c r="F48" s="427">
        <f>F49*860/7000</f>
        <v>0</v>
      </c>
    </row>
    <row r="49" spans="1:7" ht="15.75">
      <c r="A49" s="356">
        <v>18</v>
      </c>
      <c r="B49" s="361" t="s">
        <v>496</v>
      </c>
      <c r="C49" s="345" t="s">
        <v>728</v>
      </c>
      <c r="D49" s="104" t="s">
        <v>70</v>
      </c>
      <c r="E49" s="350">
        <f>ROUND(SUMPRODUCT(E50:E54,E$75:E$79)/860,3)</f>
        <v>0</v>
      </c>
      <c r="F49" s="430">
        <f>ROUND(SUMPRODUCT(F50:F54,F$75:F$79)/860,3)</f>
        <v>0</v>
      </c>
    </row>
    <row r="50" spans="1:7">
      <c r="A50" s="356" t="s">
        <v>514</v>
      </c>
      <c r="B50" s="205" t="s">
        <v>9</v>
      </c>
      <c r="C50" s="104" t="s">
        <v>483</v>
      </c>
      <c r="D50" s="108" t="s">
        <v>470</v>
      </c>
      <c r="E50" s="82"/>
      <c r="F50" s="420"/>
    </row>
    <row r="51" spans="1:7">
      <c r="A51" s="356" t="s">
        <v>515</v>
      </c>
      <c r="B51" s="205" t="s">
        <v>10</v>
      </c>
      <c r="C51" s="104" t="s">
        <v>484</v>
      </c>
      <c r="D51" s="108" t="s">
        <v>23</v>
      </c>
      <c r="E51" s="82"/>
      <c r="F51" s="420"/>
    </row>
    <row r="52" spans="1:7">
      <c r="A52" s="356" t="s">
        <v>604</v>
      </c>
      <c r="B52" s="205" t="s">
        <v>12</v>
      </c>
      <c r="C52" s="104" t="s">
        <v>486</v>
      </c>
      <c r="D52" s="108" t="s">
        <v>23</v>
      </c>
      <c r="E52" s="82"/>
      <c r="F52" s="420"/>
    </row>
    <row r="53" spans="1:7">
      <c r="A53" s="356" t="s">
        <v>605</v>
      </c>
      <c r="B53" s="205" t="s">
        <v>11</v>
      </c>
      <c r="C53" s="104" t="s">
        <v>25</v>
      </c>
      <c r="D53" s="108" t="s">
        <v>23</v>
      </c>
      <c r="E53" s="82"/>
      <c r="F53" s="420"/>
    </row>
    <row r="54" spans="1:7" ht="15.75">
      <c r="A54" s="356" t="s">
        <v>606</v>
      </c>
      <c r="B54" s="364" t="s">
        <v>369</v>
      </c>
      <c r="C54" s="104" t="s">
        <v>485</v>
      </c>
      <c r="D54" s="104" t="s">
        <v>431</v>
      </c>
      <c r="E54" s="82"/>
      <c r="F54" s="420"/>
    </row>
    <row r="55" spans="1:7" ht="14.25">
      <c r="A55" s="356">
        <v>19</v>
      </c>
      <c r="B55" s="377">
        <f>B93</f>
        <v>0.6</v>
      </c>
      <c r="C55" s="345" t="s">
        <v>419</v>
      </c>
      <c r="D55" s="345" t="s">
        <v>349</v>
      </c>
      <c r="E55" s="352">
        <f>E50*E$80/860*3.6</f>
        <v>0</v>
      </c>
      <c r="F55" s="432">
        <f>F50*F$80/860*3.6</f>
        <v>0</v>
      </c>
    </row>
    <row r="56" spans="1:7" ht="14.25">
      <c r="A56" s="356">
        <v>20</v>
      </c>
      <c r="B56" s="378">
        <f>B94</f>
        <v>0.6</v>
      </c>
      <c r="C56" s="345" t="s">
        <v>420</v>
      </c>
      <c r="D56" s="345" t="s">
        <v>349</v>
      </c>
      <c r="E56" s="352">
        <f>E53*E$83/860*3.6</f>
        <v>0</v>
      </c>
      <c r="F56" s="432">
        <f>F53*F$83/860*3.6</f>
        <v>0</v>
      </c>
    </row>
    <row r="57" spans="1:7" ht="15.75">
      <c r="A57" s="356">
        <v>21</v>
      </c>
      <c r="B57" s="116" t="s">
        <v>479</v>
      </c>
      <c r="C57" s="104" t="s">
        <v>497</v>
      </c>
      <c r="D57" s="108" t="s">
        <v>7</v>
      </c>
      <c r="E57" s="379">
        <f>IF(E49=0,0,E45/E49)</f>
        <v>0</v>
      </c>
      <c r="F57" s="438">
        <f>IF(F49=0,0,F45/F49)</f>
        <v>0</v>
      </c>
    </row>
    <row r="58" spans="1:7" ht="16.5" thickBot="1">
      <c r="A58" s="455">
        <v>22</v>
      </c>
      <c r="B58" s="469" t="s">
        <v>493</v>
      </c>
      <c r="C58" s="457" t="s">
        <v>498</v>
      </c>
      <c r="D58" s="465" t="s">
        <v>198</v>
      </c>
      <c r="E58" s="466">
        <f>ROUND(IF(E45=0,0,E48*1000/E45),2)</f>
        <v>0</v>
      </c>
      <c r="F58" s="467">
        <f>ROUND(IF(F45=0,0,F48*1000/F45),2)</f>
        <v>0</v>
      </c>
    </row>
    <row r="59" spans="1:7" s="199" customFormat="1" ht="16.5" thickTop="1">
      <c r="A59" s="460"/>
      <c r="B59" s="468" t="s">
        <v>487</v>
      </c>
      <c r="C59" s="462"/>
      <c r="D59" s="463"/>
      <c r="E59" s="399"/>
      <c r="F59" s="445"/>
    </row>
    <row r="60" spans="1:7" s="199" customFormat="1">
      <c r="A60" s="356">
        <v>23</v>
      </c>
      <c r="B60" s="124" t="s">
        <v>392</v>
      </c>
      <c r="C60" s="104" t="s">
        <v>16</v>
      </c>
      <c r="D60" s="345" t="s">
        <v>70</v>
      </c>
      <c r="E60" s="645">
        <f>SUM(E27,-E64)</f>
        <v>54045.679999999993</v>
      </c>
      <c r="F60" s="646">
        <f>SUM(F27,-F64)</f>
        <v>56219.500693481299</v>
      </c>
      <c r="G60" s="129"/>
    </row>
    <row r="61" spans="1:7" s="199" customFormat="1">
      <c r="A61" s="356" t="s">
        <v>621</v>
      </c>
      <c r="B61" s="380" t="s">
        <v>391</v>
      </c>
      <c r="C61" s="104" t="s">
        <v>17</v>
      </c>
      <c r="D61" s="345" t="s">
        <v>70</v>
      </c>
      <c r="E61" s="352">
        <f>SUM(E60,-E62)</f>
        <v>50038.679999999993</v>
      </c>
      <c r="F61" s="432">
        <f>SUM(F60,-F62)</f>
        <v>52019.004401992286</v>
      </c>
      <c r="G61" s="129"/>
    </row>
    <row r="62" spans="1:7" s="199" customFormat="1">
      <c r="A62" s="356" t="s">
        <v>620</v>
      </c>
      <c r="B62" s="380" t="s">
        <v>155</v>
      </c>
      <c r="C62" s="104" t="s">
        <v>18</v>
      </c>
      <c r="D62" s="345" t="s">
        <v>70</v>
      </c>
      <c r="E62" s="82">
        <v>4007</v>
      </c>
      <c r="F62" s="82">
        <v>4200.4962914890111</v>
      </c>
      <c r="G62" s="129"/>
    </row>
    <row r="63" spans="1:7" s="199" customFormat="1">
      <c r="A63" s="356" t="s">
        <v>622</v>
      </c>
      <c r="B63" s="381" t="s">
        <v>191</v>
      </c>
      <c r="C63" s="104" t="s">
        <v>16</v>
      </c>
      <c r="D63" s="104" t="s">
        <v>7</v>
      </c>
      <c r="E63" s="370">
        <f>IF(E27=0,0,E60/E27)</f>
        <v>0.20098527472736705</v>
      </c>
      <c r="F63" s="435">
        <f>IF(F27=0,0,F60/F27)</f>
        <v>0.20098527472736713</v>
      </c>
      <c r="G63" s="129"/>
    </row>
    <row r="64" spans="1:7" ht="15.75">
      <c r="A64" s="356">
        <v>24</v>
      </c>
      <c r="B64" s="382" t="s">
        <v>539</v>
      </c>
      <c r="C64" s="104" t="s">
        <v>19</v>
      </c>
      <c r="D64" s="345" t="s">
        <v>70</v>
      </c>
      <c r="E64" s="383">
        <f>SUM(E65:E67)</f>
        <v>214858</v>
      </c>
      <c r="F64" s="439">
        <f>SUM(F65:F67)</f>
        <v>223500</v>
      </c>
    </row>
    <row r="65" spans="1:7" ht="15.75">
      <c r="A65" s="356" t="s">
        <v>607</v>
      </c>
      <c r="B65" s="384" t="s">
        <v>489</v>
      </c>
      <c r="C65" s="104"/>
      <c r="D65" s="345" t="s">
        <v>70</v>
      </c>
      <c r="E65" s="82">
        <v>211014</v>
      </c>
      <c r="F65" s="420">
        <v>220000</v>
      </c>
    </row>
    <row r="66" spans="1:7" ht="15.75">
      <c r="A66" s="356" t="s">
        <v>608</v>
      </c>
      <c r="B66" s="384" t="s">
        <v>490</v>
      </c>
      <c r="C66" s="104"/>
      <c r="D66" s="345" t="s">
        <v>70</v>
      </c>
      <c r="E66" s="82"/>
      <c r="F66" s="420"/>
    </row>
    <row r="67" spans="1:7" s="331" customFormat="1" ht="15.75">
      <c r="A67" s="356" t="s">
        <v>609</v>
      </c>
      <c r="B67" s="385" t="s">
        <v>540</v>
      </c>
      <c r="C67" s="104"/>
      <c r="D67" s="345" t="s">
        <v>70</v>
      </c>
      <c r="E67" s="82">
        <v>3844</v>
      </c>
      <c r="F67" s="420">
        <v>3500</v>
      </c>
      <c r="G67" s="129"/>
    </row>
    <row r="68" spans="1:7" ht="15.75">
      <c r="A68" s="356">
        <v>25</v>
      </c>
      <c r="B68" s="386" t="s">
        <v>491</v>
      </c>
      <c r="C68" s="345" t="s">
        <v>418</v>
      </c>
      <c r="D68" s="345" t="s">
        <v>374</v>
      </c>
      <c r="E68" s="347">
        <f>E69*860/7000</f>
        <v>137714.29911765715</v>
      </c>
      <c r="F68" s="427">
        <f>F69*860/7000</f>
        <v>143989.04670823878</v>
      </c>
    </row>
    <row r="69" spans="1:7" ht="15.75">
      <c r="A69" s="356">
        <v>26</v>
      </c>
      <c r="B69" s="361" t="s">
        <v>499</v>
      </c>
      <c r="C69" s="345" t="s">
        <v>417</v>
      </c>
      <c r="D69" s="104" t="s">
        <v>70</v>
      </c>
      <c r="E69" s="347">
        <f>SUMPRODUCT(E70:E74,E75:E79)/860</f>
        <v>1120930.3416553489</v>
      </c>
      <c r="F69" s="427">
        <f>SUMPRODUCT(F70:F74,F75:F79)/860</f>
        <v>1172003.868555432</v>
      </c>
    </row>
    <row r="70" spans="1:7" ht="15.75">
      <c r="A70" s="356" t="s">
        <v>610</v>
      </c>
      <c r="B70" s="387" t="s">
        <v>9</v>
      </c>
      <c r="C70" s="104" t="s">
        <v>21</v>
      </c>
      <c r="D70" s="104" t="s">
        <v>372</v>
      </c>
      <c r="E70" s="388">
        <f t="shared" ref="E70:F74" si="1">SUM(E33,E50)</f>
        <v>759.00880000000006</v>
      </c>
      <c r="F70" s="440">
        <f t="shared" si="1"/>
        <v>20085</v>
      </c>
    </row>
    <row r="71" spans="1:7" ht="15">
      <c r="A71" s="356" t="s">
        <v>611</v>
      </c>
      <c r="B71" s="387" t="s">
        <v>10</v>
      </c>
      <c r="C71" s="104" t="s">
        <v>22</v>
      </c>
      <c r="D71" s="104" t="s">
        <v>23</v>
      </c>
      <c r="E71" s="388">
        <f t="shared" si="1"/>
        <v>95.83</v>
      </c>
      <c r="F71" s="440">
        <f>SUM(F34,F51)</f>
        <v>100</v>
      </c>
    </row>
    <row r="72" spans="1:7" ht="15">
      <c r="A72" s="356" t="s">
        <v>612</v>
      </c>
      <c r="B72" s="387" t="s">
        <v>12</v>
      </c>
      <c r="C72" s="104" t="s">
        <v>24</v>
      </c>
      <c r="D72" s="104" t="s">
        <v>23</v>
      </c>
      <c r="E72" s="388">
        <f t="shared" si="1"/>
        <v>0</v>
      </c>
      <c r="F72" s="440">
        <f t="shared" si="1"/>
        <v>0</v>
      </c>
    </row>
    <row r="73" spans="1:7" ht="15">
      <c r="A73" s="356" t="s">
        <v>613</v>
      </c>
      <c r="B73" s="387" t="s">
        <v>11</v>
      </c>
      <c r="C73" s="104" t="s">
        <v>25</v>
      </c>
      <c r="D73" s="104" t="s">
        <v>23</v>
      </c>
      <c r="E73" s="388">
        <f t="shared" si="1"/>
        <v>94835.42300000001</v>
      </c>
      <c r="F73" s="388">
        <f t="shared" si="1"/>
        <v>142169.15483439781</v>
      </c>
    </row>
    <row r="74" spans="1:7" ht="15.75">
      <c r="A74" s="356" t="s">
        <v>614</v>
      </c>
      <c r="B74" s="422" t="s">
        <v>369</v>
      </c>
      <c r="C74" s="104" t="s">
        <v>415</v>
      </c>
      <c r="D74" s="104" t="s">
        <v>431</v>
      </c>
      <c r="E74" s="388">
        <f>SUM(E37,E54)</f>
        <v>112968</v>
      </c>
      <c r="F74" s="440">
        <f t="shared" si="1"/>
        <v>21000</v>
      </c>
    </row>
    <row r="75" spans="1:7" ht="15.75">
      <c r="A75" s="356" t="s">
        <v>615</v>
      </c>
      <c r="B75" s="389" t="s">
        <v>426</v>
      </c>
      <c r="C75" s="104" t="s">
        <v>740</v>
      </c>
      <c r="D75" s="104" t="s">
        <v>373</v>
      </c>
      <c r="E75" s="419">
        <v>8242</v>
      </c>
      <c r="F75" s="441">
        <v>8242</v>
      </c>
    </row>
    <row r="76" spans="1:7" ht="15.75">
      <c r="A76" s="356" t="s">
        <v>616</v>
      </c>
      <c r="B76" s="390" t="s">
        <v>10</v>
      </c>
      <c r="C76" s="104" t="s">
        <v>741</v>
      </c>
      <c r="D76" s="104" t="s">
        <v>28</v>
      </c>
      <c r="E76" s="419">
        <v>9685</v>
      </c>
      <c r="F76" s="441">
        <v>9685</v>
      </c>
    </row>
    <row r="77" spans="1:7" ht="15.75">
      <c r="A77" s="356" t="s">
        <v>617</v>
      </c>
      <c r="B77" s="390" t="s">
        <v>12</v>
      </c>
      <c r="C77" s="104" t="s">
        <v>742</v>
      </c>
      <c r="D77" s="104" t="s">
        <v>28</v>
      </c>
      <c r="E77" s="419"/>
      <c r="F77" s="441"/>
    </row>
    <row r="78" spans="1:7" ht="15.75">
      <c r="A78" s="356" t="s">
        <v>618</v>
      </c>
      <c r="B78" s="390" t="s">
        <v>11</v>
      </c>
      <c r="C78" s="104" t="s">
        <v>743</v>
      </c>
      <c r="D78" s="104" t="s">
        <v>28</v>
      </c>
      <c r="E78" s="419">
        <v>5328</v>
      </c>
      <c r="F78" s="441">
        <v>5328</v>
      </c>
    </row>
    <row r="79" spans="1:7" ht="15.75">
      <c r="A79" s="356" t="s">
        <v>619</v>
      </c>
      <c r="B79" s="422" t="s">
        <v>369</v>
      </c>
      <c r="C79" s="104" t="s">
        <v>744</v>
      </c>
      <c r="D79" s="391" t="s">
        <v>433</v>
      </c>
      <c r="E79" s="419">
        <v>3997</v>
      </c>
      <c r="F79" s="441">
        <v>3997</v>
      </c>
    </row>
    <row r="80" spans="1:7" ht="15.75">
      <c r="A80" s="356" t="s">
        <v>624</v>
      </c>
      <c r="B80" s="389" t="s">
        <v>425</v>
      </c>
      <c r="C80" s="104" t="s">
        <v>26</v>
      </c>
      <c r="D80" s="104" t="s">
        <v>373</v>
      </c>
      <c r="E80" s="419">
        <v>9134</v>
      </c>
      <c r="F80" s="441">
        <v>9134</v>
      </c>
    </row>
    <row r="81" spans="1:7" ht="15.75">
      <c r="A81" s="356" t="s">
        <v>625</v>
      </c>
      <c r="B81" s="390" t="s">
        <v>10</v>
      </c>
      <c r="C81" s="104" t="s">
        <v>27</v>
      </c>
      <c r="D81" s="104" t="s">
        <v>28</v>
      </c>
      <c r="E81" s="419">
        <v>10222</v>
      </c>
      <c r="F81" s="441">
        <v>10222</v>
      </c>
    </row>
    <row r="82" spans="1:7" ht="15.75">
      <c r="A82" s="356" t="s">
        <v>626</v>
      </c>
      <c r="B82" s="390" t="s">
        <v>12</v>
      </c>
      <c r="C82" s="104" t="s">
        <v>29</v>
      </c>
      <c r="D82" s="104" t="s">
        <v>28</v>
      </c>
      <c r="E82" s="419"/>
      <c r="F82" s="441"/>
    </row>
    <row r="83" spans="1:7" ht="15.75">
      <c r="A83" s="356" t="s">
        <v>627</v>
      </c>
      <c r="B83" s="392" t="s">
        <v>11</v>
      </c>
      <c r="C83" s="104" t="s">
        <v>30</v>
      </c>
      <c r="D83" s="104" t="s">
        <v>28</v>
      </c>
      <c r="E83" s="419">
        <v>5538</v>
      </c>
      <c r="F83" s="441">
        <v>5538</v>
      </c>
    </row>
    <row r="84" spans="1:7" ht="15.75">
      <c r="A84" s="356" t="s">
        <v>628</v>
      </c>
      <c r="B84" s="390" t="str">
        <f>$B$79</f>
        <v>друг вид гориво (ВЕИ)</v>
      </c>
      <c r="C84" s="104" t="s">
        <v>370</v>
      </c>
      <c r="D84" s="104" t="s">
        <v>416</v>
      </c>
      <c r="E84" s="419"/>
      <c r="F84" s="672"/>
    </row>
    <row r="85" spans="1:7" ht="15.75">
      <c r="A85" s="356">
        <v>29</v>
      </c>
      <c r="B85" s="393" t="s">
        <v>423</v>
      </c>
      <c r="C85" s="391" t="s">
        <v>348</v>
      </c>
      <c r="D85" s="104" t="s">
        <v>375</v>
      </c>
      <c r="E85" s="388">
        <f>IF(E69=0,0,SUMPRODUCT(E70:E74,E86:E90)/E69)</f>
        <v>34.733915407196001</v>
      </c>
      <c r="F85" s="440">
        <f>IF(F69=0,0,SUMPRODUCT(F70:F74,F86:F90)/F69)</f>
        <v>45.897001841327487</v>
      </c>
    </row>
    <row r="86" spans="1:7" ht="15.75">
      <c r="A86" s="356" t="s">
        <v>629</v>
      </c>
      <c r="B86" s="390" t="s">
        <v>347</v>
      </c>
      <c r="C86" s="391" t="s">
        <v>31</v>
      </c>
      <c r="D86" s="104" t="s">
        <v>376</v>
      </c>
      <c r="E86" s="421">
        <v>577.0020958621916</v>
      </c>
      <c r="F86" s="442">
        <v>505.54</v>
      </c>
    </row>
    <row r="87" spans="1:7" ht="15.75">
      <c r="A87" s="356" t="s">
        <v>630</v>
      </c>
      <c r="B87" s="390" t="s">
        <v>10</v>
      </c>
      <c r="C87" s="391" t="s">
        <v>32</v>
      </c>
      <c r="D87" s="104" t="s">
        <v>377</v>
      </c>
      <c r="E87" s="421">
        <v>785.08075232546253</v>
      </c>
      <c r="F87" s="442">
        <v>793</v>
      </c>
    </row>
    <row r="88" spans="1:7" ht="15.75">
      <c r="A88" s="356" t="s">
        <v>631</v>
      </c>
      <c r="B88" s="390" t="s">
        <v>12</v>
      </c>
      <c r="C88" s="391" t="s">
        <v>33</v>
      </c>
      <c r="D88" s="104" t="s">
        <v>377</v>
      </c>
      <c r="E88" s="421"/>
      <c r="F88" s="442"/>
    </row>
    <row r="89" spans="1:7" ht="15.75">
      <c r="A89" s="356" t="s">
        <v>632</v>
      </c>
      <c r="B89" s="390" t="s">
        <v>11</v>
      </c>
      <c r="C89" s="391" t="s">
        <v>34</v>
      </c>
      <c r="D89" s="104" t="s">
        <v>377</v>
      </c>
      <c r="E89" s="421">
        <v>282.44100000000003</v>
      </c>
      <c r="F89" s="442">
        <v>291.16999999999996</v>
      </c>
    </row>
    <row r="90" spans="1:7" ht="15.75">
      <c r="A90" s="356" t="s">
        <v>633</v>
      </c>
      <c r="B90" s="390" t="str">
        <f>$B$79</f>
        <v>друг вид гориво (ВЕИ)</v>
      </c>
      <c r="C90" s="391" t="s">
        <v>371</v>
      </c>
      <c r="D90" s="391" t="s">
        <v>432</v>
      </c>
      <c r="E90" s="421">
        <v>103</v>
      </c>
      <c r="F90" s="442">
        <v>103</v>
      </c>
    </row>
    <row r="91" spans="1:7" ht="15.75">
      <c r="A91" s="356">
        <v>30</v>
      </c>
      <c r="B91" s="389" t="s">
        <v>537</v>
      </c>
      <c r="C91" s="104" t="s">
        <v>317</v>
      </c>
      <c r="D91" s="104" t="s">
        <v>35</v>
      </c>
      <c r="E91" s="394">
        <f>IF(E64=0,0,E27*E42/E64)</f>
        <v>224.33879418034238</v>
      </c>
      <c r="F91" s="443">
        <f>IF(F64=0,0,F27*F42/F64)</f>
        <v>225.49021225925961</v>
      </c>
      <c r="G91" s="363"/>
    </row>
    <row r="92" spans="1:7" ht="15.75">
      <c r="A92" s="356">
        <v>31</v>
      </c>
      <c r="B92" s="395" t="s">
        <v>193</v>
      </c>
      <c r="C92" s="104" t="s">
        <v>318</v>
      </c>
      <c r="D92" s="104" t="s">
        <v>198</v>
      </c>
      <c r="E92" s="396">
        <f>IF(E8=0,0,SUM(E68,-E27*E42/1000)/E8*1000)</f>
        <v>169.3410613700955</v>
      </c>
      <c r="F92" s="444">
        <f>IF(F8=0,0,SUM(F68,-F27*F42/1000)/F8*1000)</f>
        <v>168.90092609816622</v>
      </c>
      <c r="G92" s="363"/>
    </row>
    <row r="93" spans="1:7" ht="14.25">
      <c r="A93" s="356">
        <v>32</v>
      </c>
      <c r="B93" s="423">
        <v>0.6</v>
      </c>
      <c r="C93" s="345" t="s">
        <v>419</v>
      </c>
      <c r="D93" s="345" t="s">
        <v>349</v>
      </c>
      <c r="E93" s="352">
        <f>SUM(E38,E55)</f>
        <v>18863.628055032561</v>
      </c>
      <c r="F93" s="432">
        <f>SUM(F38,F55)</f>
        <v>499172.03790697671</v>
      </c>
    </row>
    <row r="94" spans="1:7" ht="14.25">
      <c r="A94" s="356">
        <v>33</v>
      </c>
      <c r="B94" s="424">
        <v>0.6</v>
      </c>
      <c r="C94" s="345" t="s">
        <v>420</v>
      </c>
      <c r="D94" s="345" t="s">
        <v>349</v>
      </c>
      <c r="E94" s="117">
        <f>SUM(E39,E56)</f>
        <v>1429028.6742129768</v>
      </c>
      <c r="F94" s="432">
        <f>IF(F$49=0,0,SUM(F53*F83,F36*F83*(F51*F76/(F$49)))*0.86/3600000)</f>
        <v>0</v>
      </c>
    </row>
    <row r="95" spans="1:7" ht="18.75">
      <c r="A95" s="356">
        <v>34</v>
      </c>
      <c r="B95" s="389" t="s">
        <v>721</v>
      </c>
      <c r="C95" s="104"/>
      <c r="D95" s="104" t="s">
        <v>23</v>
      </c>
      <c r="E95" s="84">
        <v>182341</v>
      </c>
      <c r="F95" s="442">
        <v>308304</v>
      </c>
    </row>
    <row r="96" spans="1:7" ht="18.75">
      <c r="A96" s="356" t="s">
        <v>634</v>
      </c>
      <c r="B96" s="389" t="s">
        <v>722</v>
      </c>
      <c r="C96" s="104"/>
      <c r="D96" s="104" t="s">
        <v>23</v>
      </c>
      <c r="E96" s="388">
        <f>SUM(E95,-E97)</f>
        <v>144019</v>
      </c>
      <c r="F96" s="440">
        <f>SUM(F95,-F97)</f>
        <v>268131.4472467078</v>
      </c>
    </row>
    <row r="97" spans="1:7" ht="18.75">
      <c r="A97" s="356" t="s">
        <v>635</v>
      </c>
      <c r="B97" s="389" t="s">
        <v>723</v>
      </c>
      <c r="C97" s="104"/>
      <c r="D97" s="104" t="s">
        <v>23</v>
      </c>
      <c r="E97" s="84">
        <v>38322</v>
      </c>
      <c r="F97" s="442">
        <v>40172.552753292206</v>
      </c>
    </row>
    <row r="98" spans="1:7" ht="15.75">
      <c r="A98" s="356" t="s">
        <v>636</v>
      </c>
      <c r="B98" s="389" t="s">
        <v>422</v>
      </c>
      <c r="C98" s="104"/>
      <c r="D98" s="104" t="s">
        <v>23</v>
      </c>
      <c r="E98" s="442">
        <v>112000</v>
      </c>
      <c r="F98" s="442">
        <v>308304</v>
      </c>
      <c r="G98" s="671"/>
    </row>
    <row r="99" spans="1:7" ht="15.75">
      <c r="A99" s="356" t="s">
        <v>637</v>
      </c>
      <c r="B99" s="389" t="s">
        <v>502</v>
      </c>
      <c r="C99" s="104"/>
      <c r="D99" s="104" t="s">
        <v>23</v>
      </c>
      <c r="E99" s="442"/>
      <c r="F99" s="442"/>
      <c r="G99" s="199"/>
    </row>
    <row r="100" spans="1:7" ht="15.75">
      <c r="A100" s="356">
        <v>35</v>
      </c>
      <c r="B100" s="389" t="s">
        <v>503</v>
      </c>
      <c r="C100" s="104" t="s">
        <v>421</v>
      </c>
      <c r="D100" s="104" t="s">
        <v>377</v>
      </c>
      <c r="E100" s="442">
        <v>48.89575</v>
      </c>
      <c r="F100" s="442">
        <v>48.89575</v>
      </c>
      <c r="G100" s="671"/>
    </row>
    <row r="101" spans="1:7" ht="15.75">
      <c r="A101" s="356">
        <v>36</v>
      </c>
      <c r="B101" s="389" t="s">
        <v>753</v>
      </c>
      <c r="C101" s="104" t="s">
        <v>421</v>
      </c>
      <c r="D101" s="104" t="s">
        <v>377</v>
      </c>
      <c r="E101" s="84"/>
      <c r="F101" s="442"/>
    </row>
    <row r="102" spans="1:7" ht="15.75">
      <c r="A102" s="397">
        <v>37</v>
      </c>
      <c r="B102" s="571" t="s">
        <v>97</v>
      </c>
      <c r="C102" s="398" t="s">
        <v>224</v>
      </c>
      <c r="D102" s="398" t="s">
        <v>164</v>
      </c>
      <c r="E102" s="399">
        <f>SUM(E103:E104)</f>
        <v>118.5</v>
      </c>
      <c r="F102" s="445">
        <f>SUM(F103:F104)</f>
        <v>119.7</v>
      </c>
    </row>
    <row r="103" spans="1:7" ht="15.75">
      <c r="A103" s="356" t="s">
        <v>638</v>
      </c>
      <c r="B103" s="390" t="s">
        <v>20</v>
      </c>
      <c r="C103" s="104" t="s">
        <v>225</v>
      </c>
      <c r="D103" s="104" t="s">
        <v>164</v>
      </c>
      <c r="E103" s="82">
        <v>106</v>
      </c>
      <c r="F103" s="420">
        <v>107</v>
      </c>
    </row>
    <row r="104" spans="1:7" ht="15.75">
      <c r="A104" s="356" t="s">
        <v>639</v>
      </c>
      <c r="B104" s="390" t="s">
        <v>222</v>
      </c>
      <c r="C104" s="104" t="s">
        <v>226</v>
      </c>
      <c r="D104" s="104" t="s">
        <v>164</v>
      </c>
      <c r="E104" s="82">
        <v>12.5</v>
      </c>
      <c r="F104" s="420">
        <v>12.7</v>
      </c>
    </row>
    <row r="105" spans="1:7" ht="15.75">
      <c r="A105" s="356">
        <v>38</v>
      </c>
      <c r="B105" s="572" t="s">
        <v>733</v>
      </c>
      <c r="C105" s="104" t="s">
        <v>228</v>
      </c>
      <c r="D105" s="400" t="s">
        <v>335</v>
      </c>
      <c r="E105" s="401">
        <f>SUM(E106:E107)</f>
        <v>45423.35021086772</v>
      </c>
      <c r="F105" s="686">
        <f>SUM(F106:F107)</f>
        <v>67106.645395382628</v>
      </c>
    </row>
    <row r="106" spans="1:7" ht="15.75">
      <c r="A106" s="356" t="s">
        <v>640</v>
      </c>
      <c r="B106" s="573" t="s">
        <v>247</v>
      </c>
      <c r="C106" s="104"/>
      <c r="D106" s="400" t="s">
        <v>335</v>
      </c>
      <c r="E106" s="401">
        <f>ROUND(IF(E$27=0,0,РБА!D$69*НВ!$F$21),3)</f>
        <v>2222.9409999999998</v>
      </c>
      <c r="F106" s="687">
        <f>ROUND(IF(F$27=0,0,РБА!G69*НВ!G21),3)</f>
        <v>2118.5509999999999</v>
      </c>
    </row>
    <row r="107" spans="1:7" ht="15.75">
      <c r="A107" s="356" t="s">
        <v>641</v>
      </c>
      <c r="B107" s="573" t="s">
        <v>246</v>
      </c>
      <c r="C107" s="170"/>
      <c r="D107" s="400" t="s">
        <v>335</v>
      </c>
      <c r="E107" s="401">
        <f>SUM(E108:E109)</f>
        <v>43200.409210867721</v>
      </c>
      <c r="F107" s="687">
        <f>SUM(F108:F109)</f>
        <v>64988.094395382628</v>
      </c>
    </row>
    <row r="108" spans="1:7" ht="15.75">
      <c r="A108" s="356" t="s">
        <v>642</v>
      </c>
      <c r="B108" s="573" t="s">
        <v>245</v>
      </c>
      <c r="C108" s="170"/>
      <c r="D108" s="400" t="s">
        <v>335</v>
      </c>
      <c r="E108" s="401">
        <f>ROUND(IF(E$27=0,0,SUM(Разходи!D$14,Разходи!D$19,SUM(Разходи!D11,-SUM(Разходи!D14:D15,Разходи!D19:D20))*Коефициенти!E27)),3)</f>
        <v>10841.245000000001</v>
      </c>
      <c r="F108" s="446">
        <f>ROUND(IF(F$27=0,0,SUM(Разходи!G$14,Разходи!G$19,SUM(Разходи!G11,-SUM(Разходи!G14:G15,Разходи!G19:G20))*Коефициенти!F27)),3)</f>
        <v>13126.433999999999</v>
      </c>
    </row>
    <row r="109" spans="1:7" ht="15.75">
      <c r="A109" s="356" t="s">
        <v>643</v>
      </c>
      <c r="B109" s="573" t="s">
        <v>244</v>
      </c>
      <c r="C109" s="170"/>
      <c r="D109" s="400" t="s">
        <v>335</v>
      </c>
      <c r="E109" s="657">
        <f>ROUND(IF(E$27=0,0,SUM(Разходи!D$85,SUM(Разходи!D75:D78)*Коефициенти!E27)*(1-E$62/E$27)),3)+E27/Коефициенти!E22*E85/1000</f>
        <v>32359.164210867722</v>
      </c>
      <c r="F109" s="658">
        <f>ROUND(IF(F$27=0,0,SUM(Разходи!G$85,SUM(Разходи!G75:G78)*Коефициенти!F27)*(1-F$62/F$27)),3)+F27/Коефициенти!F22*F85/1000</f>
        <v>51861.660395382627</v>
      </c>
    </row>
    <row r="110" spans="1:7" ht="15.75">
      <c r="A110" s="356">
        <v>39</v>
      </c>
      <c r="B110" s="402" t="s">
        <v>223</v>
      </c>
      <c r="C110" s="104" t="s">
        <v>227</v>
      </c>
      <c r="D110" s="104" t="s">
        <v>375</v>
      </c>
      <c r="E110" s="403">
        <f>IF(E$64=0,0,ROUND(E105/E$64*1000,2))</f>
        <v>211.41</v>
      </c>
      <c r="F110" s="447">
        <f>IF(F$64=0,0,ROUND(F105/F$64*1000,2))</f>
        <v>300.25</v>
      </c>
    </row>
    <row r="111" spans="1:7" ht="15.75">
      <c r="A111" s="356">
        <v>40</v>
      </c>
      <c r="B111" s="404" t="s">
        <v>424</v>
      </c>
      <c r="C111" s="104" t="s">
        <v>227</v>
      </c>
      <c r="D111" s="104" t="s">
        <v>375</v>
      </c>
      <c r="E111" s="405">
        <f>ROUND(IF(SUM(E$20,-E$14)=0,0,E112*1000/SUM(E$20,-E$14)),2)</f>
        <v>41.45</v>
      </c>
      <c r="F111" s="448">
        <f>ROUND(IF(SUM(F$20,-F$14)=0,0,F112*1000/SUM(F$20,-F$14)),2)</f>
        <v>52.09</v>
      </c>
    </row>
    <row r="112" spans="1:7" ht="15.75">
      <c r="A112" s="356" t="s">
        <v>644</v>
      </c>
      <c r="B112" s="574" t="s">
        <v>158</v>
      </c>
      <c r="C112" s="104" t="s">
        <v>233</v>
      </c>
      <c r="D112" s="400" t="s">
        <v>335</v>
      </c>
      <c r="E112" s="406">
        <f>SUM(Разходи!D8,-E$105)</f>
        <v>21909.421214660062</v>
      </c>
      <c r="F112" s="449">
        <f>SUM(Разходи!G8,-F$105)</f>
        <v>28866.267031555079</v>
      </c>
    </row>
    <row r="113" spans="1:7" ht="15.75">
      <c r="A113" s="356" t="s">
        <v>645</v>
      </c>
      <c r="B113" s="574" t="s">
        <v>734</v>
      </c>
      <c r="C113" s="104"/>
      <c r="D113" s="400" t="s">
        <v>335</v>
      </c>
      <c r="E113" s="407">
        <f>SUM(Разходи!D$9,-E$106)</f>
        <v>301.05889100000059</v>
      </c>
      <c r="F113" s="450">
        <f>SUM(Разходи!G$9,-F$106)</f>
        <v>291.59462170000006</v>
      </c>
    </row>
    <row r="114" spans="1:7" ht="14.25">
      <c r="A114" s="356" t="s">
        <v>646</v>
      </c>
      <c r="B114" s="575" t="s">
        <v>735</v>
      </c>
      <c r="C114" s="170"/>
      <c r="D114" s="400" t="s">
        <v>335</v>
      </c>
      <c r="E114" s="407">
        <f>SUM(Разходи!D$10,-E$107)</f>
        <v>21608.362323660062</v>
      </c>
      <c r="F114" s="450">
        <f>SUM(Разходи!G$10,-F$107)</f>
        <v>28574.672409855084</v>
      </c>
    </row>
    <row r="115" spans="1:7" ht="14.25">
      <c r="A115" s="356" t="s">
        <v>647</v>
      </c>
      <c r="B115" s="575" t="s">
        <v>736</v>
      </c>
      <c r="C115" s="170"/>
      <c r="D115" s="400" t="s">
        <v>335</v>
      </c>
      <c r="E115" s="407">
        <f>SUM(Разходи!D$11,-E$108)</f>
        <v>7849.6878399999969</v>
      </c>
      <c r="F115" s="450">
        <f>SUM(Разходи!G$11,-F$108)</f>
        <v>8979.0685715866366</v>
      </c>
    </row>
    <row r="116" spans="1:7" ht="15.75">
      <c r="A116" s="356" t="s">
        <v>648</v>
      </c>
      <c r="B116" s="574" t="s">
        <v>737</v>
      </c>
      <c r="C116" s="170"/>
      <c r="D116" s="400" t="s">
        <v>335</v>
      </c>
      <c r="E116" s="407">
        <f>SUM(Разходи!D$61,-E$109)</f>
        <v>13758.674483660066</v>
      </c>
      <c r="F116" s="450">
        <f>SUM(Разходи!G$61,-F$109)</f>
        <v>19595.603838268449</v>
      </c>
    </row>
    <row r="117" spans="1:7" ht="15.75" hidden="1">
      <c r="A117" s="356">
        <v>41</v>
      </c>
      <c r="B117" s="570" t="s">
        <v>312</v>
      </c>
      <c r="C117" s="104"/>
      <c r="D117" s="104" t="s">
        <v>375</v>
      </c>
      <c r="E117" s="576"/>
      <c r="F117" s="577"/>
    </row>
    <row r="118" spans="1:7" s="330" customFormat="1" ht="15.75">
      <c r="A118" s="356">
        <v>41</v>
      </c>
      <c r="B118" s="402" t="s">
        <v>197</v>
      </c>
      <c r="C118" s="141" t="s">
        <v>231</v>
      </c>
      <c r="D118" s="141" t="s">
        <v>375</v>
      </c>
      <c r="E118" s="408">
        <f>SUM(E$110,E$117)</f>
        <v>211.41</v>
      </c>
      <c r="F118" s="451">
        <f>SUM(F$110,F$117)</f>
        <v>300.25</v>
      </c>
      <c r="G118" s="129"/>
    </row>
    <row r="119" spans="1:7" ht="15.75">
      <c r="A119" s="356">
        <v>42</v>
      </c>
      <c r="B119" s="409">
        <v>2008</v>
      </c>
      <c r="C119" s="104" t="s">
        <v>230</v>
      </c>
      <c r="D119" s="104" t="s">
        <v>375</v>
      </c>
      <c r="E119" s="410">
        <f>IF(B119&lt;2004,E110,E118)</f>
        <v>211.41</v>
      </c>
      <c r="F119" s="452">
        <f>IF(C119&lt;2004,F110,F118)</f>
        <v>300.25</v>
      </c>
      <c r="G119" s="670"/>
    </row>
    <row r="120" spans="1:7" ht="15.75">
      <c r="A120" s="356">
        <v>43</v>
      </c>
      <c r="B120" s="389" t="s">
        <v>311</v>
      </c>
      <c r="C120" s="104" t="s">
        <v>229</v>
      </c>
      <c r="D120" s="104" t="s">
        <v>375</v>
      </c>
      <c r="E120" s="388">
        <f>E110</f>
        <v>211.41</v>
      </c>
      <c r="F120" s="440">
        <f>F110</f>
        <v>300.25</v>
      </c>
    </row>
    <row r="121" spans="1:7" ht="15.75">
      <c r="A121" s="356">
        <v>44</v>
      </c>
      <c r="B121" s="389" t="s">
        <v>157</v>
      </c>
      <c r="C121" s="104" t="s">
        <v>232</v>
      </c>
      <c r="D121" s="400" t="s">
        <v>335</v>
      </c>
      <c r="E121" s="411">
        <f>SUMPRODUCT(E65:E67,E118:E120)/1000</f>
        <v>45423.129780000003</v>
      </c>
      <c r="F121" s="450">
        <f>SUMPRODUCT(F65:F67,F118:F120)/1000</f>
        <v>67105.875</v>
      </c>
    </row>
    <row r="122" spans="1:7" ht="15.75">
      <c r="A122" s="208">
        <v>45</v>
      </c>
      <c r="B122" s="453" t="s">
        <v>541</v>
      </c>
      <c r="C122" s="104" t="s">
        <v>233</v>
      </c>
      <c r="D122" s="400" t="s">
        <v>335</v>
      </c>
      <c r="E122" s="411">
        <f>SUM(Разходи!D$8,-E$121)</f>
        <v>21909.641645527779</v>
      </c>
      <c r="F122" s="450">
        <f>SUM(Разходи!G$8,-F$121)</f>
        <v>28867.037426937706</v>
      </c>
    </row>
    <row r="123" spans="1:7" ht="15.75">
      <c r="A123" s="356">
        <v>46</v>
      </c>
      <c r="B123" s="567" t="s">
        <v>196</v>
      </c>
      <c r="C123" s="412" t="s">
        <v>159</v>
      </c>
      <c r="D123" s="104" t="s">
        <v>375</v>
      </c>
      <c r="E123" s="413">
        <f>IF(E8=0,0,ROUND(E122/E8*1000,2))</f>
        <v>41.45</v>
      </c>
      <c r="F123" s="454">
        <f>IF(F8=0,0,ROUND(F122/F8*1000,2))</f>
        <v>52.09</v>
      </c>
    </row>
    <row r="124" spans="1:7" ht="15.75">
      <c r="A124" s="356">
        <v>47</v>
      </c>
      <c r="B124" s="568" t="s">
        <v>194</v>
      </c>
      <c r="C124" s="414" t="s">
        <v>87</v>
      </c>
      <c r="D124" s="398" t="s">
        <v>375</v>
      </c>
      <c r="E124" s="415">
        <f>IF(E9=0,0,SUM(IF(E8=0,0,IF(Разходи!D8=0,0,E122/Разходи!D8*Разходи!D61)/E8*1000)*E9,IF(E102=0,0,SUM(E122,-IF(Разходи!D8=0,0,E122/Разходи!D8*Разходи!D61))/E102*E103*1000/E9)*E9)/E9)</f>
        <v>40.484801051866711</v>
      </c>
      <c r="F124" s="692">
        <f>IF(F9=0,0,SUM(IF(F8=0,0,IF(Разходи!G8=0,0,F122/Разходи!G8*Разходи!G61)/F8*1000)*F9,IF(F102=0,0,SUM(F122,-IF(Разходи!G8=0,0,F122/Разходи!G8*Разходи!G61))/F102*F103*1000/F9)*F9)/F9)</f>
        <v>51.084335502752644</v>
      </c>
      <c r="G124" s="691">
        <f>SUM(G$110,G$117)</f>
        <v>0</v>
      </c>
    </row>
    <row r="125" spans="1:7" ht="16.5" thickBot="1">
      <c r="A125" s="455">
        <v>48</v>
      </c>
      <c r="B125" s="569" t="s">
        <v>195</v>
      </c>
      <c r="C125" s="456" t="s">
        <v>168</v>
      </c>
      <c r="D125" s="457" t="s">
        <v>375</v>
      </c>
      <c r="E125" s="458">
        <f>IF(E10=0,0,SUM(IF(E8=0,0,IF(Разходи!D8=0,0,E122/Разходи!D8*Разходи!D61)/E8*1000)*E10,IF(E102=0,0,SUM(E122,-IF(Разходи!D8=0,0,E122/Разходи!D8*Разходи!D61))/E102*E104*1000/E10)*E10)/E10)</f>
        <v>68.659040335979512</v>
      </c>
      <c r="F125" s="459">
        <f>IF(F10=0,0,SUM(IF(F8=0,0,IF(Разходи!G8=0,0,F122/Разходи!G8*Разходи!G61)/F8*1000)*F10,IF(F102=0,0,SUM(F122,-IF(Разходи!G8=0,0,F122/Разходи!G8*Разходи!G61))/F102*F104*1000/F10)*F10)/F10)</f>
        <v>82.05344608536943</v>
      </c>
    </row>
    <row r="126" spans="1:7" ht="13.5" thickTop="1"/>
    <row r="127" spans="1:7" ht="13.5" thickBot="1"/>
    <row r="128" spans="1:7" ht="32.25" customHeight="1" thickTop="1">
      <c r="A128" s="775" t="s">
        <v>0</v>
      </c>
      <c r="B128" s="779">
        <f>B5</f>
        <v>7.202</v>
      </c>
      <c r="C128" s="781" t="s">
        <v>42</v>
      </c>
      <c r="D128" s="783" t="s">
        <v>14</v>
      </c>
      <c r="E128" s="335" t="s">
        <v>332</v>
      </c>
      <c r="F128" s="336" t="s">
        <v>333</v>
      </c>
    </row>
    <row r="129" spans="1:6" ht="15.75">
      <c r="A129" s="776"/>
      <c r="B129" s="780"/>
      <c r="C129" s="782"/>
      <c r="D129" s="784"/>
      <c r="E129" s="337">
        <f>($B$5-7.0001)*10000</f>
        <v>2019.0000000000018</v>
      </c>
      <c r="F129" s="519">
        <f>$B$5</f>
        <v>7.202</v>
      </c>
    </row>
    <row r="130" spans="1:6">
      <c r="A130" s="338">
        <v>1</v>
      </c>
      <c r="B130" s="339">
        <v>2</v>
      </c>
      <c r="C130" s="340">
        <v>3</v>
      </c>
      <c r="D130" s="340">
        <v>4</v>
      </c>
      <c r="E130" s="341">
        <v>5</v>
      </c>
      <c r="F130" s="520">
        <v>6</v>
      </c>
    </row>
    <row r="131" spans="1:6" ht="15">
      <c r="A131" s="580">
        <v>1</v>
      </c>
      <c r="B131" s="578" t="s">
        <v>712</v>
      </c>
      <c r="C131" s="116"/>
      <c r="D131" s="323" t="s">
        <v>710</v>
      </c>
      <c r="E131" s="302">
        <f>SUM(E133,-E132)</f>
        <v>288</v>
      </c>
      <c r="F131" s="581">
        <f>SUM(F133,-F132)</f>
        <v>295</v>
      </c>
    </row>
    <row r="132" spans="1:6" ht="15">
      <c r="A132" s="580">
        <v>2</v>
      </c>
      <c r="B132" s="578" t="s">
        <v>714</v>
      </c>
      <c r="C132" s="116"/>
      <c r="D132" s="323" t="s">
        <v>710</v>
      </c>
      <c r="E132" s="543">
        <v>45</v>
      </c>
      <c r="F132" s="543">
        <v>45</v>
      </c>
    </row>
    <row r="133" spans="1:6" ht="16.5" thickBot="1">
      <c r="A133" s="582">
        <v>3</v>
      </c>
      <c r="B133" s="583" t="s">
        <v>713</v>
      </c>
      <c r="C133" s="469"/>
      <c r="D133" s="544" t="s">
        <v>710</v>
      </c>
      <c r="E133" s="584">
        <v>333</v>
      </c>
      <c r="F133" s="584">
        <v>340</v>
      </c>
    </row>
    <row r="134" spans="1:6" ht="14.25" thickTop="1">
      <c r="A134" s="539"/>
      <c r="B134" s="565"/>
      <c r="C134" s="541"/>
      <c r="D134" s="541"/>
      <c r="E134" s="541"/>
    </row>
    <row r="135" spans="1:6" ht="13.5">
      <c r="A135" s="539"/>
      <c r="B135" s="565"/>
      <c r="C135" s="541"/>
      <c r="D135" s="541"/>
      <c r="E135" s="541"/>
    </row>
    <row r="136" spans="1:6" ht="13.5">
      <c r="A136" s="539"/>
      <c r="B136" s="565"/>
      <c r="C136" s="541"/>
      <c r="D136" s="541"/>
      <c r="E136" s="541"/>
    </row>
    <row r="137" spans="1:6">
      <c r="F137" s="416"/>
    </row>
    <row r="138" spans="1:6" ht="15.75">
      <c r="A138" s="233" t="s">
        <v>779</v>
      </c>
      <c r="B138" s="417"/>
      <c r="C138" s="418" t="str">
        <f>Разходи!$E$91</f>
        <v>Изп. директор:</v>
      </c>
      <c r="D138" s="418"/>
      <c r="E138" s="199"/>
      <c r="F138" s="199"/>
    </row>
    <row r="139" spans="1:6">
      <c r="B139" s="689" t="s">
        <v>780</v>
      </c>
      <c r="C139" s="418"/>
      <c r="D139" s="785" t="str">
        <f>Разходи!$F$93</f>
        <v xml:space="preserve"> /С.Желев/</v>
      </c>
      <c r="E139" s="785"/>
      <c r="F139" s="785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F21 E22:F22 E60:F60" unlockedFormula="1"/>
    <ignoredError sqref="E24:F24 E69 F69" formulaRange="1"/>
    <ignoredError sqref="E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B5" sqref="B5:B6"/>
    </sheetView>
  </sheetViews>
  <sheetFormatPr defaultColWidth="0" defaultRowHeight="12.75" zeroHeight="1"/>
  <cols>
    <col min="1" max="1" width="4.42578125" style="285" customWidth="1"/>
    <col min="2" max="2" width="59" style="285" customWidth="1"/>
    <col min="3" max="3" width="7.5703125" style="285" bestFit="1" customWidth="1"/>
    <col min="4" max="4" width="10.5703125" style="285" customWidth="1"/>
    <col min="5" max="5" width="12.85546875" style="285" customWidth="1"/>
    <col min="6" max="6" width="9.140625" style="285" customWidth="1"/>
    <col min="7" max="16384" width="0" style="285" hidden="1"/>
  </cols>
  <sheetData>
    <row r="1" spans="1:6" ht="18.75">
      <c r="A1" s="283"/>
      <c r="B1" s="800">
        <v>5</v>
      </c>
      <c r="C1" s="800"/>
      <c r="D1" s="284"/>
      <c r="E1" s="130" t="s">
        <v>683</v>
      </c>
    </row>
    <row r="2" spans="1:6" ht="15.75">
      <c r="A2" s="286"/>
      <c r="B2" s="801" t="s">
        <v>203</v>
      </c>
      <c r="C2" s="801"/>
      <c r="D2" s="286"/>
      <c r="E2" s="286"/>
    </row>
    <row r="3" spans="1:6">
      <c r="A3" s="287"/>
      <c r="B3" s="802" t="str">
        <f>'ТИП-ПРОИЗ'!$B$3:$C$3</f>
        <v>"Топлофикация-Русе" ЕАД</v>
      </c>
      <c r="C3" s="802"/>
      <c r="D3" s="288"/>
      <c r="E3" s="288"/>
    </row>
    <row r="4" spans="1:6" ht="13.5" thickBot="1">
      <c r="A4" s="287"/>
      <c r="B4" s="287"/>
      <c r="C4" s="287"/>
      <c r="D4" s="288"/>
      <c r="E4" s="288"/>
    </row>
    <row r="5" spans="1:6" ht="13.5" thickTop="1">
      <c r="A5" s="790" t="s">
        <v>37</v>
      </c>
      <c r="B5" s="792" t="s">
        <v>328</v>
      </c>
      <c r="C5" s="794" t="s">
        <v>2</v>
      </c>
      <c r="D5" s="289" t="s">
        <v>332</v>
      </c>
      <c r="E5" s="290" t="s">
        <v>333</v>
      </c>
    </row>
    <row r="6" spans="1:6">
      <c r="A6" s="791"/>
      <c r="B6" s="793"/>
      <c r="C6" s="795"/>
      <c r="D6" s="291">
        <f>'ТИП-ПРОИЗ'!E6</f>
        <v>2019.0000000000018</v>
      </c>
      <c r="E6" s="648">
        <f>'ТИП-ПРОИЗ'!F6</f>
        <v>7.202</v>
      </c>
    </row>
    <row r="7" spans="1:6" ht="15.75">
      <c r="A7" s="292">
        <v>1</v>
      </c>
      <c r="B7" s="293" t="s">
        <v>383</v>
      </c>
      <c r="C7" s="294" t="s">
        <v>70</v>
      </c>
      <c r="D7" s="295">
        <f>SUM(D8:D9)</f>
        <v>328932.51260627399</v>
      </c>
      <c r="E7" s="522">
        <f>SUM(E8:E9)</f>
        <v>345379.13823658769</v>
      </c>
      <c r="F7" s="296"/>
    </row>
    <row r="8" spans="1:6">
      <c r="A8" s="297">
        <v>2</v>
      </c>
      <c r="B8" s="298" t="s">
        <v>184</v>
      </c>
      <c r="C8" s="294" t="s">
        <v>70</v>
      </c>
      <c r="D8" s="56">
        <v>141800.97432725091</v>
      </c>
      <c r="E8" s="57">
        <v>158247.59995756464</v>
      </c>
      <c r="F8" s="296"/>
    </row>
    <row r="9" spans="1:6">
      <c r="A9" s="292">
        <v>3</v>
      </c>
      <c r="B9" s="300" t="s">
        <v>181</v>
      </c>
      <c r="C9" s="294" t="s">
        <v>70</v>
      </c>
      <c r="D9" s="56">
        <v>187131.53827902305</v>
      </c>
      <c r="E9" s="57">
        <v>187131.53827902305</v>
      </c>
      <c r="F9" s="296"/>
    </row>
    <row r="10" spans="1:6">
      <c r="A10" s="297">
        <v>4</v>
      </c>
      <c r="B10" s="301" t="s">
        <v>180</v>
      </c>
      <c r="C10" s="294" t="s">
        <v>70</v>
      </c>
      <c r="D10" s="58">
        <v>181582.66713192861</v>
      </c>
      <c r="E10" s="523">
        <v>190661.80048852504</v>
      </c>
    </row>
    <row r="11" spans="1:6">
      <c r="A11" s="292">
        <v>5</v>
      </c>
      <c r="B11" s="301" t="s">
        <v>180</v>
      </c>
      <c r="C11" s="302" t="s">
        <v>7</v>
      </c>
      <c r="D11" s="303">
        <f>IF(D12=0,0,ROUND(D10/D12,4))</f>
        <v>0.35570000000000002</v>
      </c>
      <c r="E11" s="317">
        <f>IF(E12=0,0,ROUND(E10/E12,4))</f>
        <v>0.35570000000000002</v>
      </c>
    </row>
    <row r="12" spans="1:6">
      <c r="A12" s="297">
        <v>6</v>
      </c>
      <c r="B12" s="301" t="s">
        <v>38</v>
      </c>
      <c r="C12" s="294" t="s">
        <v>70</v>
      </c>
      <c r="D12" s="304">
        <f>SUM(D7,D10)</f>
        <v>510515.1797382026</v>
      </c>
      <c r="E12" s="524">
        <f>SUM(E7,E10)</f>
        <v>536040.9387251127</v>
      </c>
    </row>
    <row r="13" spans="1:6" ht="13.5">
      <c r="A13" s="292">
        <v>7</v>
      </c>
      <c r="B13" s="305" t="s">
        <v>337</v>
      </c>
      <c r="C13" s="294" t="s">
        <v>335</v>
      </c>
      <c r="D13" s="306">
        <f>D20*D12/1000</f>
        <v>20668.105485659107</v>
      </c>
      <c r="E13" s="307">
        <f>E20*E12/1000</f>
        <v>27383.295157044133</v>
      </c>
    </row>
    <row r="14" spans="1:6">
      <c r="A14" s="297">
        <v>8</v>
      </c>
      <c r="B14" s="301" t="s">
        <v>529</v>
      </c>
      <c r="C14" s="294" t="s">
        <v>335</v>
      </c>
      <c r="D14" s="306">
        <f>SUM(D15:D16)</f>
        <v>2986.4054394999998</v>
      </c>
      <c r="E14" s="307">
        <f>SUM(E15:E16)</f>
        <v>3255.0389635599595</v>
      </c>
    </row>
    <row r="15" spans="1:6">
      <c r="A15" s="292">
        <v>9</v>
      </c>
      <c r="B15" s="301" t="s">
        <v>336</v>
      </c>
      <c r="C15" s="294" t="s">
        <v>335</v>
      </c>
      <c r="D15" s="306">
        <f>Разходи!E9</f>
        <v>666.6045795</v>
      </c>
      <c r="E15" s="307">
        <f>Разходи!H9</f>
        <v>541.20340529999999</v>
      </c>
    </row>
    <row r="16" spans="1:6">
      <c r="A16" s="297">
        <v>10</v>
      </c>
      <c r="B16" s="301" t="s">
        <v>544</v>
      </c>
      <c r="C16" s="294" t="s">
        <v>335</v>
      </c>
      <c r="D16" s="306">
        <f>SUM(D17:D18)</f>
        <v>2319.8008599999998</v>
      </c>
      <c r="E16" s="307">
        <f>SUM(E17:E18)</f>
        <v>2713.8355582599593</v>
      </c>
    </row>
    <row r="17" spans="1:6">
      <c r="A17" s="292">
        <v>11</v>
      </c>
      <c r="B17" s="301" t="s">
        <v>338</v>
      </c>
      <c r="C17" s="294" t="s">
        <v>335</v>
      </c>
      <c r="D17" s="306">
        <f>Разходи!E11</f>
        <v>2037.02367</v>
      </c>
      <c r="E17" s="307">
        <f>Разходи!H11</f>
        <v>2402.7806492599593</v>
      </c>
    </row>
    <row r="18" spans="1:6">
      <c r="A18" s="297">
        <v>12</v>
      </c>
      <c r="B18" s="301" t="s">
        <v>531</v>
      </c>
      <c r="C18" s="294" t="s">
        <v>335</v>
      </c>
      <c r="D18" s="306">
        <f>Разходи!E61</f>
        <v>282.77718999999996</v>
      </c>
      <c r="E18" s="307">
        <f>Разходи!H61</f>
        <v>311.05490900000001</v>
      </c>
    </row>
    <row r="19" spans="1:6">
      <c r="A19" s="292">
        <v>13</v>
      </c>
      <c r="B19" s="301" t="s">
        <v>462</v>
      </c>
      <c r="C19" s="294" t="s">
        <v>335</v>
      </c>
      <c r="D19" s="306">
        <f>D10*D20/1000</f>
        <v>7351.3381533034662</v>
      </c>
      <c r="E19" s="307">
        <f>E10*E20/1000</f>
        <v>9739.8313837147016</v>
      </c>
    </row>
    <row r="20" spans="1:6" ht="13.5">
      <c r="A20" s="297">
        <v>14</v>
      </c>
      <c r="B20" s="308" t="s">
        <v>326</v>
      </c>
      <c r="C20" s="294" t="s">
        <v>199</v>
      </c>
      <c r="D20" s="309">
        <f>'ТИП-ПРОИЗ'!E124</f>
        <v>40.484801051866711</v>
      </c>
      <c r="E20" s="525">
        <f>'ТИП-ПРОИЗ'!F124</f>
        <v>51.084335502752644</v>
      </c>
      <c r="F20" s="296"/>
    </row>
    <row r="21" spans="1:6">
      <c r="A21" s="292">
        <v>15</v>
      </c>
      <c r="B21" s="310" t="s">
        <v>530</v>
      </c>
      <c r="C21" s="294" t="s">
        <v>199</v>
      </c>
      <c r="D21" s="311">
        <f>IF(D7=0,0,SUM(D14,D19)/D7*1000)</f>
        <v>31.428159870525025</v>
      </c>
      <c r="E21" s="526">
        <f>IF(E7=0,0,SUM(E14,E19)/E7*1000)</f>
        <v>37.624942877624129</v>
      </c>
      <c r="F21" s="296"/>
    </row>
    <row r="22" spans="1:6">
      <c r="A22" s="297">
        <v>16</v>
      </c>
      <c r="B22" s="310" t="s">
        <v>707</v>
      </c>
      <c r="C22" s="294" t="s">
        <v>199</v>
      </c>
      <c r="D22" s="311">
        <f>IF(D7=0,0,D19/D7*1000)</f>
        <v>22.349077307851534</v>
      </c>
      <c r="E22" s="526">
        <f>IF(E7=0,0,E19/E7*1000)</f>
        <v>28.200404440880945</v>
      </c>
      <c r="F22" s="296"/>
    </row>
    <row r="23" spans="1:6" ht="15.75">
      <c r="A23" s="292">
        <v>17</v>
      </c>
      <c r="B23" s="537" t="s">
        <v>183</v>
      </c>
      <c r="C23" s="294" t="s">
        <v>199</v>
      </c>
      <c r="D23" s="312">
        <f>ROUNDUP(IF(D7=0,0,SUM(D20*D12,D14*1000)/D7),2)</f>
        <v>71.92</v>
      </c>
      <c r="E23" s="313">
        <f>ROUNDUP(IF(E7=0,0,SUM(E20*E12,E14*1000)/E7),2)</f>
        <v>88.710000000000008</v>
      </c>
    </row>
    <row r="24" spans="1:6" ht="13.5" thickBot="1">
      <c r="A24" s="527">
        <v>18</v>
      </c>
      <c r="B24" s="528" t="s">
        <v>542</v>
      </c>
      <c r="C24" s="529" t="s">
        <v>96</v>
      </c>
      <c r="D24" s="530">
        <f>D23*D7/1000</f>
        <v>23656.826306643226</v>
      </c>
      <c r="E24" s="531">
        <f>E23*E7/1000</f>
        <v>30638.583352967697</v>
      </c>
    </row>
    <row r="25" spans="1:6" ht="13.5" thickTop="1">
      <c r="A25" s="287"/>
      <c r="B25" s="287"/>
      <c r="C25" s="287"/>
      <c r="D25" s="288"/>
      <c r="E25" s="288"/>
    </row>
    <row r="26" spans="1:6" ht="13.5" thickBot="1">
      <c r="A26" s="287"/>
      <c r="B26" s="287"/>
      <c r="C26" s="287"/>
      <c r="D26" s="288"/>
      <c r="E26" s="288"/>
    </row>
    <row r="27" spans="1:6" ht="13.5" customHeight="1" thickTop="1">
      <c r="A27" s="805" t="s">
        <v>37</v>
      </c>
      <c r="B27" s="803" t="s">
        <v>327</v>
      </c>
      <c r="C27" s="807" t="s">
        <v>2</v>
      </c>
      <c r="D27" s="651" t="s">
        <v>332</v>
      </c>
      <c r="E27" s="290" t="s">
        <v>333</v>
      </c>
    </row>
    <row r="28" spans="1:6" ht="13.5" customHeight="1">
      <c r="A28" s="806"/>
      <c r="B28" s="804"/>
      <c r="C28" s="808"/>
      <c r="D28" s="652">
        <f>D6</f>
        <v>2019.0000000000018</v>
      </c>
      <c r="E28" s="648">
        <f>E6</f>
        <v>7.202</v>
      </c>
    </row>
    <row r="29" spans="1:6">
      <c r="A29" s="314">
        <v>1</v>
      </c>
      <c r="B29" s="315">
        <v>2</v>
      </c>
      <c r="C29" s="316">
        <v>3</v>
      </c>
      <c r="D29" s="649">
        <v>5</v>
      </c>
      <c r="E29" s="650">
        <v>8</v>
      </c>
    </row>
    <row r="30" spans="1:6" ht="15.75">
      <c r="A30" s="297">
        <v>1</v>
      </c>
      <c r="B30" s="538" t="s">
        <v>330</v>
      </c>
      <c r="C30" s="294" t="s">
        <v>70</v>
      </c>
      <c r="D30" s="79">
        <v>11133</v>
      </c>
      <c r="E30" s="80">
        <v>11133</v>
      </c>
    </row>
    <row r="31" spans="1:6">
      <c r="A31" s="297">
        <v>2</v>
      </c>
      <c r="B31" s="301" t="s">
        <v>180</v>
      </c>
      <c r="C31" s="294" t="s">
        <v>70</v>
      </c>
      <c r="D31" s="56">
        <v>6949.6319999999978</v>
      </c>
      <c r="E31" s="57">
        <v>6949.6319999999978</v>
      </c>
    </row>
    <row r="32" spans="1:6">
      <c r="A32" s="297">
        <v>3</v>
      </c>
      <c r="B32" s="301" t="s">
        <v>180</v>
      </c>
      <c r="C32" s="302" t="s">
        <v>7</v>
      </c>
      <c r="D32" s="303">
        <f>IF(D33=0,0,ROUND(D31/D33,4))</f>
        <v>0.38429999999999997</v>
      </c>
      <c r="E32" s="317">
        <f>IF(E33=0,0,ROUND(E31/E33,4))</f>
        <v>0.38429999999999997</v>
      </c>
    </row>
    <row r="33" spans="1:6">
      <c r="A33" s="297">
        <v>4</v>
      </c>
      <c r="B33" s="301" t="s">
        <v>331</v>
      </c>
      <c r="C33" s="294" t="s">
        <v>70</v>
      </c>
      <c r="D33" s="318">
        <f>SUM(D30:D31)</f>
        <v>18082.631999999998</v>
      </c>
      <c r="E33" s="319">
        <f>SUM(E30:E31)</f>
        <v>18082.631999999998</v>
      </c>
      <c r="F33" s="296"/>
    </row>
    <row r="34" spans="1:6">
      <c r="A34" s="297">
        <v>5</v>
      </c>
      <c r="B34" s="320" t="s">
        <v>339</v>
      </c>
      <c r="C34" s="294" t="s">
        <v>335</v>
      </c>
      <c r="D34" s="306">
        <f>D33*D41/1000</f>
        <v>1241.5361598686736</v>
      </c>
      <c r="E34" s="307">
        <f>E33*E41/1000</f>
        <v>1483.7422698935757</v>
      </c>
      <c r="F34" s="296"/>
    </row>
    <row r="35" spans="1:6">
      <c r="A35" s="297">
        <v>6</v>
      </c>
      <c r="B35" s="301" t="s">
        <v>340</v>
      </c>
      <c r="C35" s="294" t="s">
        <v>335</v>
      </c>
      <c r="D35" s="306">
        <f>SUM(D36:D37)</f>
        <v>0</v>
      </c>
      <c r="E35" s="307">
        <f>SUM(E36:E37)</f>
        <v>0</v>
      </c>
      <c r="F35" s="296"/>
    </row>
    <row r="36" spans="1:6">
      <c r="A36" s="297">
        <v>7</v>
      </c>
      <c r="B36" s="301" t="s">
        <v>341</v>
      </c>
      <c r="C36" s="294" t="s">
        <v>335</v>
      </c>
      <c r="D36" s="56"/>
      <c r="E36" s="57"/>
      <c r="F36" s="296"/>
    </row>
    <row r="37" spans="1:6">
      <c r="A37" s="297">
        <v>8</v>
      </c>
      <c r="B37" s="301" t="s">
        <v>543</v>
      </c>
      <c r="C37" s="294" t="s">
        <v>335</v>
      </c>
      <c r="D37" s="306">
        <f>SUM(D38:D39)</f>
        <v>0</v>
      </c>
      <c r="E37" s="307">
        <f>SUM(E38:E39)</f>
        <v>0</v>
      </c>
      <c r="F37" s="296"/>
    </row>
    <row r="38" spans="1:6">
      <c r="A38" s="297">
        <v>9</v>
      </c>
      <c r="B38" s="301" t="s">
        <v>342</v>
      </c>
      <c r="C38" s="294" t="s">
        <v>335</v>
      </c>
      <c r="D38" s="306"/>
      <c r="E38" s="307"/>
      <c r="F38" s="296"/>
    </row>
    <row r="39" spans="1:6">
      <c r="A39" s="297">
        <v>10</v>
      </c>
      <c r="B39" s="301" t="s">
        <v>545</v>
      </c>
      <c r="C39" s="294" t="s">
        <v>335</v>
      </c>
      <c r="D39" s="306"/>
      <c r="E39" s="307"/>
      <c r="F39" s="296"/>
    </row>
    <row r="40" spans="1:6">
      <c r="A40" s="297">
        <v>11</v>
      </c>
      <c r="B40" s="301" t="s">
        <v>463</v>
      </c>
      <c r="C40" s="294" t="s">
        <v>335</v>
      </c>
      <c r="D40" s="306">
        <f>D31*D41/1000</f>
        <v>477.15506380821381</v>
      </c>
      <c r="E40" s="307">
        <f>E31*E41/1000</f>
        <v>570.24125462515792</v>
      </c>
      <c r="F40" s="296"/>
    </row>
    <row r="41" spans="1:6" ht="13.5">
      <c r="A41" s="297">
        <v>12</v>
      </c>
      <c r="B41" s="308" t="s">
        <v>324</v>
      </c>
      <c r="C41" s="294" t="s">
        <v>199</v>
      </c>
      <c r="D41" s="311">
        <f>'ТИП-ПРОИЗ'!E125</f>
        <v>68.659040335979512</v>
      </c>
      <c r="E41" s="526">
        <f>'ТИП-ПРОИЗ'!F125</f>
        <v>82.05344608536943</v>
      </c>
      <c r="F41" s="296"/>
    </row>
    <row r="42" spans="1:6">
      <c r="A42" s="297">
        <v>13</v>
      </c>
      <c r="B42" s="310" t="s">
        <v>325</v>
      </c>
      <c r="C42" s="294" t="s">
        <v>199</v>
      </c>
      <c r="D42" s="311">
        <f>IF(D30=0,0,SUM(D35,D40)/D30*1000)</f>
        <v>42.85952248344686</v>
      </c>
      <c r="E42" s="526">
        <f>IF(E30=0,0,SUM(E35,E40)/E30*1000)</f>
        <v>51.220807924652647</v>
      </c>
      <c r="F42" s="296"/>
    </row>
    <row r="43" spans="1:6">
      <c r="A43" s="297">
        <v>14</v>
      </c>
      <c r="B43" s="310" t="s">
        <v>708</v>
      </c>
      <c r="C43" s="294" t="s">
        <v>199</v>
      </c>
      <c r="D43" s="311">
        <f>IF(D30=0,0,D40/D30*1000)</f>
        <v>42.85952248344686</v>
      </c>
      <c r="E43" s="526">
        <f>IF(E30=0,0,E40/E30*1000)</f>
        <v>51.220807924652647</v>
      </c>
      <c r="F43" s="296"/>
    </row>
    <row r="44" spans="1:6" ht="15.75">
      <c r="A44" s="297">
        <v>15</v>
      </c>
      <c r="B44" s="537" t="s">
        <v>182</v>
      </c>
      <c r="C44" s="294" t="s">
        <v>199</v>
      </c>
      <c r="D44" s="321">
        <f>ROUNDUP(IF(D30=0,0,SUM(D41*D33,D35*1000)/D30),4)</f>
        <v>111.51860000000001</v>
      </c>
      <c r="E44" s="322">
        <f>ROUNDUP(IF(E30=0,0,SUM(E41*E33,E35*1000)/E30),4)</f>
        <v>133.27430000000001</v>
      </c>
      <c r="F44" s="688"/>
    </row>
    <row r="45" spans="1:6" ht="13.5" thickBot="1">
      <c r="A45" s="527">
        <v>16</v>
      </c>
      <c r="B45" s="528" t="s">
        <v>334</v>
      </c>
      <c r="C45" s="529" t="s">
        <v>96</v>
      </c>
      <c r="D45" s="530">
        <f>D44*D30/1000</f>
        <v>1241.5365738</v>
      </c>
      <c r="E45" s="531">
        <f>E44*E30/1000</f>
        <v>1483.7427819</v>
      </c>
    </row>
    <row r="46" spans="1:6" s="119" customFormat="1" ht="13.5" thickTop="1"/>
    <row r="47" spans="1:6" s="119" customFormat="1" ht="13.5" thickBot="1"/>
    <row r="48" spans="1:6" ht="13.5" thickTop="1">
      <c r="A48" s="796" t="s">
        <v>37</v>
      </c>
      <c r="B48" s="798" t="s">
        <v>711</v>
      </c>
      <c r="C48" s="794" t="s">
        <v>2</v>
      </c>
      <c r="D48" s="289" t="s">
        <v>332</v>
      </c>
      <c r="E48" s="290" t="s">
        <v>333</v>
      </c>
    </row>
    <row r="49" spans="1:5">
      <c r="A49" s="797"/>
      <c r="B49" s="799"/>
      <c r="C49" s="795"/>
      <c r="D49" s="291">
        <f>D6</f>
        <v>2019.0000000000018</v>
      </c>
      <c r="E49" s="521">
        <f>E6</f>
        <v>7.202</v>
      </c>
    </row>
    <row r="50" spans="1:5" ht="13.5">
      <c r="A50" s="553">
        <v>1</v>
      </c>
      <c r="B50" s="549" t="s">
        <v>201</v>
      </c>
      <c r="C50" s="323" t="s">
        <v>329</v>
      </c>
      <c r="D50" s="324">
        <f>SUM(D51,D54)</f>
        <v>0</v>
      </c>
      <c r="E50" s="542">
        <f>SUM(E51,E54)</f>
        <v>0</v>
      </c>
    </row>
    <row r="51" spans="1:5" ht="13.5">
      <c r="A51" s="554">
        <v>2</v>
      </c>
      <c r="B51" s="550" t="s">
        <v>202</v>
      </c>
      <c r="C51" s="323" t="s">
        <v>329</v>
      </c>
      <c r="D51" s="306">
        <f>SUM(D52:D53)</f>
        <v>0</v>
      </c>
      <c r="E51" s="307">
        <f>SUM(E52:E53)</f>
        <v>0</v>
      </c>
    </row>
    <row r="52" spans="1:5">
      <c r="A52" s="553">
        <v>3</v>
      </c>
      <c r="B52" s="551" t="s">
        <v>185</v>
      </c>
      <c r="C52" s="323" t="s">
        <v>329</v>
      </c>
      <c r="D52" s="299"/>
      <c r="E52" s="543"/>
    </row>
    <row r="53" spans="1:5">
      <c r="A53" s="554">
        <v>4</v>
      </c>
      <c r="B53" s="551" t="s">
        <v>186</v>
      </c>
      <c r="C53" s="323" t="s">
        <v>329</v>
      </c>
      <c r="D53" s="299"/>
      <c r="E53" s="543"/>
    </row>
    <row r="54" spans="1:5" ht="13.5">
      <c r="A54" s="553">
        <v>5</v>
      </c>
      <c r="B54" s="550" t="s">
        <v>200</v>
      </c>
      <c r="C54" s="323" t="s">
        <v>329</v>
      </c>
      <c r="D54" s="306">
        <f>SUM(D55:D56)</f>
        <v>0</v>
      </c>
      <c r="E54" s="307">
        <f>SUM(E55:E56)</f>
        <v>0</v>
      </c>
    </row>
    <row r="55" spans="1:5">
      <c r="A55" s="554">
        <v>6</v>
      </c>
      <c r="B55" s="551" t="s">
        <v>185</v>
      </c>
      <c r="C55" s="323" t="s">
        <v>329</v>
      </c>
      <c r="D55" s="299"/>
      <c r="E55" s="543"/>
    </row>
    <row r="56" spans="1:5">
      <c r="A56" s="555">
        <v>7</v>
      </c>
      <c r="B56" s="552" t="s">
        <v>186</v>
      </c>
      <c r="C56" s="545" t="s">
        <v>329</v>
      </c>
      <c r="D56" s="546"/>
      <c r="E56" s="547"/>
    </row>
    <row r="57" spans="1:5" ht="13.5" thickBot="1">
      <c r="A57" s="556">
        <v>8</v>
      </c>
      <c r="B57" s="585" t="s">
        <v>709</v>
      </c>
      <c r="C57" s="544" t="s">
        <v>710</v>
      </c>
      <c r="D57" s="544">
        <f>'ТИП-ПРОИЗ'!E132</f>
        <v>45</v>
      </c>
      <c r="E57" s="548">
        <f>'ТИП-ПРОИЗ'!F132</f>
        <v>45</v>
      </c>
    </row>
    <row r="58" spans="1:5" ht="13.5" thickTop="1">
      <c r="A58" s="539"/>
      <c r="B58" s="540"/>
      <c r="C58" s="541"/>
      <c r="D58" s="541"/>
      <c r="E58" s="541"/>
    </row>
    <row r="59" spans="1:5" ht="13.5" thickBot="1"/>
    <row r="60" spans="1:5" ht="13.5" thickTop="1">
      <c r="A60" s="788" t="s">
        <v>40</v>
      </c>
      <c r="B60" s="557" t="s">
        <v>187</v>
      </c>
      <c r="C60" s="558" t="s">
        <v>3</v>
      </c>
      <c r="D60" s="559">
        <f>SUM('ТИП-ПРОИЗ'!E122,Разходи!E8)</f>
        <v>24896.047085027778</v>
      </c>
      <c r="E60" s="560">
        <f>SUM('ТИП-ПРОИЗ'!F122,Разходи!H8)</f>
        <v>32122.076390497667</v>
      </c>
    </row>
    <row r="61" spans="1:5" ht="13.5" thickBot="1">
      <c r="A61" s="789"/>
      <c r="B61" s="561" t="s">
        <v>188</v>
      </c>
      <c r="C61" s="562" t="s">
        <v>3</v>
      </c>
      <c r="D61" s="563">
        <f>ROUND(SUM(D7*D23,D30*D44)/1000,0)</f>
        <v>24898</v>
      </c>
      <c r="E61" s="564">
        <f>ROUND(SUM(E7*E23,E30*E44)/1000,0)</f>
        <v>32122</v>
      </c>
    </row>
    <row r="62" spans="1:5" ht="13.5" thickTop="1">
      <c r="A62" s="325"/>
      <c r="B62" s="326"/>
      <c r="C62" s="326"/>
      <c r="D62" s="326"/>
      <c r="E62" s="326"/>
    </row>
    <row r="63" spans="1:5">
      <c r="A63" s="326"/>
      <c r="B63" s="326"/>
      <c r="C63" s="326"/>
      <c r="D63" s="326"/>
      <c r="E63" s="326"/>
    </row>
    <row r="64" spans="1:5">
      <c r="A64" s="326"/>
      <c r="B64" s="326"/>
      <c r="C64" s="326"/>
      <c r="D64" s="326"/>
      <c r="E64" s="326"/>
    </row>
    <row r="65" spans="1:5">
      <c r="A65" s="326"/>
      <c r="B65" s="326"/>
      <c r="C65" s="326"/>
      <c r="D65" s="326"/>
      <c r="E65" s="326"/>
    </row>
    <row r="66" spans="1:5" ht="15.75">
      <c r="A66" s="233" t="s">
        <v>779</v>
      </c>
      <c r="B66" s="417"/>
      <c r="C66" s="285" t="str">
        <f>Разходи!E91</f>
        <v>Изп. директор:</v>
      </c>
      <c r="D66" s="327"/>
      <c r="E66" s="327"/>
    </row>
    <row r="67" spans="1:5">
      <c r="A67" s="103"/>
      <c r="B67" s="689" t="s">
        <v>780</v>
      </c>
      <c r="D67" s="674" t="str">
        <f>Разходи!$F$93</f>
        <v xml:space="preserve"> /С.Желев/</v>
      </c>
      <c r="E67" s="674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3">
    <mergeCell ref="B1:C1"/>
    <mergeCell ref="B2:C2"/>
    <mergeCell ref="B3:C3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zoomScale="110" zoomScaleNormal="110" workbookViewId="0">
      <selection activeCell="B6" sqref="B6:B7"/>
    </sheetView>
  </sheetViews>
  <sheetFormatPr defaultColWidth="0" defaultRowHeight="0" customHeight="1" zeroHeight="1"/>
  <cols>
    <col min="1" max="1" width="5.140625" style="618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9"/>
      <c r="B1" s="809">
        <v>6</v>
      </c>
      <c r="C1" s="809"/>
      <c r="D1" s="590"/>
      <c r="E1" s="590"/>
      <c r="F1" s="130" t="s">
        <v>684</v>
      </c>
    </row>
    <row r="2" spans="1:58" ht="14.25" customHeight="1">
      <c r="A2" s="590"/>
      <c r="B2" s="589"/>
      <c r="C2" s="590"/>
      <c r="D2" s="590"/>
      <c r="E2" s="590"/>
      <c r="F2" s="590"/>
    </row>
    <row r="3" spans="1:58" ht="14.25" customHeight="1">
      <c r="A3" s="591"/>
      <c r="B3" s="810" t="s">
        <v>189</v>
      </c>
      <c r="C3" s="810"/>
      <c r="D3" s="592"/>
      <c r="E3" s="592"/>
      <c r="F3" s="592"/>
    </row>
    <row r="4" spans="1:58" ht="14.25" customHeight="1">
      <c r="A4" s="593"/>
      <c r="B4" s="811" t="str">
        <f>'ТИП-ПРОИЗ'!$B$3:$C$3</f>
        <v>"Топлофикация-Русе" ЕАД</v>
      </c>
      <c r="C4" s="811"/>
      <c r="D4" s="593"/>
      <c r="E4" s="593"/>
      <c r="F4" s="593"/>
    </row>
    <row r="5" spans="1:58" ht="14.25" customHeight="1" thickBot="1">
      <c r="A5" s="594"/>
      <c r="B5" s="595"/>
      <c r="C5" s="595"/>
      <c r="D5" s="595"/>
      <c r="E5" s="595"/>
      <c r="F5" s="595"/>
    </row>
    <row r="6" spans="1:58" ht="14.25" customHeight="1" thickTop="1" thickBot="1">
      <c r="A6" s="813" t="s">
        <v>0</v>
      </c>
      <c r="B6" s="815" t="s">
        <v>160</v>
      </c>
      <c r="C6" s="815" t="s">
        <v>42</v>
      </c>
      <c r="D6" s="815" t="s">
        <v>14</v>
      </c>
      <c r="E6" s="289" t="s">
        <v>332</v>
      </c>
      <c r="F6" s="290" t="s">
        <v>333</v>
      </c>
    </row>
    <row r="7" spans="1:58" ht="13.5" thickTop="1">
      <c r="A7" s="814"/>
      <c r="B7" s="816"/>
      <c r="C7" s="816"/>
      <c r="D7" s="816"/>
      <c r="E7" s="76">
        <f>'ТИП-ПРОИЗ'!E6</f>
        <v>2019.0000000000018</v>
      </c>
      <c r="F7" s="653">
        <f>'ТИП-ПРОИЗ'!F6</f>
        <v>7.202</v>
      </c>
    </row>
    <row r="8" spans="1:58" ht="13.5" customHeight="1">
      <c r="A8" s="596">
        <v>1</v>
      </c>
      <c r="B8" s="597">
        <v>2</v>
      </c>
      <c r="C8" s="597">
        <v>3</v>
      </c>
      <c r="D8" s="598">
        <v>4</v>
      </c>
      <c r="E8" s="597">
        <v>5</v>
      </c>
      <c r="F8" s="599">
        <v>6</v>
      </c>
      <c r="G8" s="600"/>
    </row>
    <row r="9" spans="1:58" ht="14.25" customHeight="1">
      <c r="A9" s="601">
        <v>1</v>
      </c>
      <c r="B9" s="602" t="s">
        <v>43</v>
      </c>
      <c r="C9" s="603" t="s">
        <v>44</v>
      </c>
      <c r="D9" s="579" t="s">
        <v>23</v>
      </c>
      <c r="E9" s="604">
        <v>1383045.6611692237</v>
      </c>
      <c r="F9" s="605">
        <v>1446062.08357414</v>
      </c>
      <c r="G9" s="636"/>
    </row>
    <row r="10" spans="1:58" ht="14.25" customHeight="1">
      <c r="A10" s="601">
        <v>2</v>
      </c>
      <c r="B10" s="602" t="s">
        <v>45</v>
      </c>
      <c r="C10" s="603" t="s">
        <v>212</v>
      </c>
      <c r="D10" s="579" t="s">
        <v>46</v>
      </c>
      <c r="E10" s="604">
        <v>3450.7078648469756</v>
      </c>
      <c r="F10" s="605">
        <v>3450.7078648469756</v>
      </c>
    </row>
    <row r="11" spans="1:58" ht="14.25" customHeight="1">
      <c r="A11" s="601">
        <v>3</v>
      </c>
      <c r="B11" s="602" t="s">
        <v>47</v>
      </c>
      <c r="C11" s="603" t="s">
        <v>48</v>
      </c>
      <c r="D11" s="579" t="s">
        <v>23</v>
      </c>
      <c r="E11" s="606">
        <f>ROUND(E9*1.05,0)</f>
        <v>1452198</v>
      </c>
      <c r="F11" s="607">
        <f>ROUND(F9*1.05,0)</f>
        <v>1518365</v>
      </c>
    </row>
    <row r="12" spans="1:58" ht="14.25" customHeight="1">
      <c r="A12" s="601">
        <v>4</v>
      </c>
      <c r="B12" s="602" t="s">
        <v>49</v>
      </c>
      <c r="C12" s="603" t="s">
        <v>50</v>
      </c>
      <c r="D12" s="579" t="s">
        <v>51</v>
      </c>
      <c r="E12" s="608">
        <v>217.71157742256463</v>
      </c>
      <c r="F12" s="605">
        <v>217.71157742256463</v>
      </c>
    </row>
    <row r="13" spans="1:58" ht="14.25" customHeight="1">
      <c r="A13" s="601">
        <v>5</v>
      </c>
      <c r="B13" s="602" t="s">
        <v>52</v>
      </c>
      <c r="C13" s="603" t="s">
        <v>53</v>
      </c>
      <c r="D13" s="579" t="s">
        <v>46</v>
      </c>
      <c r="E13" s="608">
        <v>937.57760863244789</v>
      </c>
      <c r="F13" s="605">
        <v>937.57760863244789</v>
      </c>
    </row>
    <row r="14" spans="1:58" ht="12.75" customHeight="1">
      <c r="A14" s="601">
        <v>6</v>
      </c>
      <c r="B14" s="602" t="s">
        <v>204</v>
      </c>
      <c r="C14" s="609" t="s">
        <v>219</v>
      </c>
      <c r="D14" s="579" t="s">
        <v>70</v>
      </c>
      <c r="E14" s="606">
        <f>IF(E9=0,0,(E9*E10-E11*E13)/3600)</f>
        <v>947482.83676063956</v>
      </c>
      <c r="F14" s="607">
        <f>IF(F9=0,0,(F9*F10-F11*F13)/3600)</f>
        <v>990653.54975418968</v>
      </c>
      <c r="H14" s="610"/>
      <c r="I14" s="610"/>
      <c r="J14" s="610"/>
      <c r="K14" s="610"/>
      <c r="L14" s="610"/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10"/>
      <c r="AG14" s="610"/>
      <c r="AH14" s="610"/>
      <c r="AI14" s="610"/>
      <c r="AJ14" s="610"/>
      <c r="AK14" s="610"/>
      <c r="AL14" s="610"/>
      <c r="AM14" s="610"/>
      <c r="AN14" s="610"/>
      <c r="AO14" s="610"/>
      <c r="AP14" s="610"/>
      <c r="AQ14" s="610"/>
      <c r="AR14" s="610"/>
      <c r="AS14" s="610"/>
      <c r="AT14" s="610"/>
      <c r="AU14" s="610"/>
      <c r="AV14" s="610"/>
      <c r="AW14" s="610"/>
      <c r="AX14" s="610"/>
      <c r="AY14" s="610"/>
      <c r="AZ14" s="610"/>
      <c r="BA14" s="610"/>
      <c r="BB14" s="610"/>
      <c r="BC14" s="610"/>
      <c r="BD14" s="610"/>
      <c r="BE14" s="610"/>
      <c r="BF14" s="610"/>
    </row>
    <row r="15" spans="1:58" ht="12.75" customHeight="1">
      <c r="A15" s="601">
        <v>7</v>
      </c>
      <c r="B15" s="602" t="s">
        <v>412</v>
      </c>
      <c r="C15" s="60" t="s">
        <v>413</v>
      </c>
      <c r="D15" s="579" t="s">
        <v>7</v>
      </c>
      <c r="E15" s="611">
        <f>IF(E9=0,0,IF('ТИП-ПРОИЗ'!E32=0,0,E14/'ТИП-ПРОИЗ'!E32))</f>
        <v>0.84526468885667794</v>
      </c>
      <c r="F15" s="612">
        <f>IF(F9=0,0,IF('ТИП-ПРОИЗ'!F32=0,0,F14/'ТИП-ПРОИЗ'!F32))</f>
        <v>0.84526474353660153</v>
      </c>
      <c r="H15" s="610"/>
      <c r="I15" s="610"/>
      <c r="J15" s="610"/>
      <c r="K15" s="610"/>
      <c r="L15" s="610"/>
      <c r="M15" s="610"/>
      <c r="N15" s="610"/>
      <c r="O15" s="610"/>
      <c r="P15" s="610"/>
      <c r="Q15" s="610"/>
      <c r="R15" s="610"/>
      <c r="S15" s="610"/>
      <c r="T15" s="610"/>
      <c r="U15" s="610"/>
      <c r="V15" s="610"/>
      <c r="W15" s="610"/>
      <c r="X15" s="610"/>
      <c r="Y15" s="610"/>
      <c r="Z15" s="610"/>
      <c r="AA15" s="610"/>
      <c r="AB15" s="610"/>
      <c r="AC15" s="610"/>
      <c r="AD15" s="610"/>
      <c r="AE15" s="610"/>
      <c r="AF15" s="610"/>
      <c r="AG15" s="610"/>
      <c r="AH15" s="610"/>
      <c r="AI15" s="610"/>
      <c r="AJ15" s="610"/>
      <c r="AK15" s="610"/>
      <c r="AL15" s="610"/>
      <c r="AM15" s="610"/>
      <c r="AN15" s="610"/>
      <c r="AO15" s="610"/>
      <c r="AP15" s="610"/>
      <c r="AQ15" s="610"/>
      <c r="AR15" s="610"/>
      <c r="AS15" s="610"/>
      <c r="AT15" s="610"/>
      <c r="AU15" s="610"/>
      <c r="AV15" s="610"/>
      <c r="AW15" s="610"/>
      <c r="AX15" s="610"/>
      <c r="AY15" s="610"/>
      <c r="AZ15" s="610"/>
      <c r="BA15" s="610"/>
      <c r="BB15" s="610"/>
      <c r="BC15" s="610"/>
      <c r="BD15" s="610"/>
      <c r="BE15" s="610"/>
      <c r="BF15" s="610"/>
    </row>
    <row r="16" spans="1:58" ht="12.75" customHeight="1">
      <c r="A16" s="601">
        <v>8</v>
      </c>
      <c r="B16" s="613" t="s">
        <v>36</v>
      </c>
      <c r="C16" s="60" t="s">
        <v>724</v>
      </c>
      <c r="D16" s="579" t="s">
        <v>86</v>
      </c>
      <c r="E16" s="614">
        <v>0.99</v>
      </c>
      <c r="F16" s="615">
        <v>0.99</v>
      </c>
    </row>
    <row r="17" spans="1:7" ht="14.25">
      <c r="A17" s="601">
        <v>9</v>
      </c>
      <c r="B17" s="640" t="s">
        <v>725</v>
      </c>
      <c r="C17" s="641" t="s">
        <v>746</v>
      </c>
      <c r="D17" s="579" t="s">
        <v>7</v>
      </c>
      <c r="E17" s="616">
        <v>0.86960000000000004</v>
      </c>
      <c r="F17" s="617">
        <v>0.86960000000000004</v>
      </c>
    </row>
    <row r="18" spans="1:7" ht="14.25">
      <c r="A18" s="601">
        <v>10</v>
      </c>
      <c r="B18" s="640" t="s">
        <v>726</v>
      </c>
      <c r="C18" s="641" t="s">
        <v>747</v>
      </c>
      <c r="D18" s="579" t="s">
        <v>7</v>
      </c>
      <c r="E18" s="616">
        <v>0.35949999999999999</v>
      </c>
      <c r="F18" s="617">
        <v>0.35949999999999999</v>
      </c>
    </row>
    <row r="19" spans="1:7" ht="14.25">
      <c r="A19" s="601">
        <v>11</v>
      </c>
      <c r="B19" s="640" t="s">
        <v>388</v>
      </c>
      <c r="C19" s="642" t="s">
        <v>732</v>
      </c>
      <c r="D19" s="579" t="s">
        <v>7</v>
      </c>
      <c r="E19" s="586">
        <f>SUM(E20:E21)</f>
        <v>0.71146391694177424</v>
      </c>
      <c r="F19" s="588">
        <f>SUM(F20:F21)</f>
        <v>0.71146784876236113</v>
      </c>
    </row>
    <row r="20" spans="1:7" ht="14.25">
      <c r="A20" s="601">
        <v>12</v>
      </c>
      <c r="B20" s="640" t="s">
        <v>243</v>
      </c>
      <c r="C20" s="641" t="s">
        <v>748</v>
      </c>
      <c r="D20" s="579" t="s">
        <v>7</v>
      </c>
      <c r="E20" s="619">
        <f>IF('ТИП-ПРОИЗ'!E32=0,0,SUM('ТИП-ПРОИЗ'!E8,-'ТИП-ПРОИЗ'!E45)/'ТИП-ПРОИЗ'!E32)</f>
        <v>0.47157061588239407</v>
      </c>
      <c r="F20" s="587">
        <f>IF('ТИП-ПРОИЗ'!F32=0,0,SUM('ТИП-ПРОИЗ'!F8,-'ТИП-ПРОИЗ'!F45)/'ТИП-ПРОИЗ'!F32)</f>
        <v>0.47280012070089228</v>
      </c>
    </row>
    <row r="21" spans="1:7" ht="17.25" customHeight="1">
      <c r="A21" s="601">
        <v>13</v>
      </c>
      <c r="B21" s="640" t="s">
        <v>242</v>
      </c>
      <c r="C21" s="641" t="s">
        <v>749</v>
      </c>
      <c r="D21" s="579" t="s">
        <v>7</v>
      </c>
      <c r="E21" s="619">
        <f>IF('ТИП-ПРОИЗ'!E32=0,0,'ТИП-ПРОИЗ'!E27/'ТИП-ПРОИЗ'!E32)</f>
        <v>0.2398933010593802</v>
      </c>
      <c r="F21" s="587">
        <f>IF('ТИП-ПРОИЗ'!F32=0,0,'ТИП-ПРОИЗ'!F27/'ТИП-ПРОИЗ'!F32)</f>
        <v>0.2386677280614688</v>
      </c>
    </row>
    <row r="22" spans="1:7" ht="20.25" customHeight="1">
      <c r="A22" s="601">
        <v>21</v>
      </c>
      <c r="B22" s="665" t="s">
        <v>754</v>
      </c>
      <c r="C22" s="659" t="s">
        <v>755</v>
      </c>
      <c r="D22" s="625" t="s">
        <v>7</v>
      </c>
      <c r="E22" s="660">
        <v>0.35</v>
      </c>
      <c r="F22" s="661">
        <f>E22</f>
        <v>0.35</v>
      </c>
    </row>
    <row r="23" spans="1:7" ht="12.75">
      <c r="A23" s="601">
        <v>22</v>
      </c>
      <c r="B23" s="622" t="s">
        <v>756</v>
      </c>
      <c r="C23" s="662"/>
      <c r="D23" s="663"/>
      <c r="E23" s="620">
        <f>E22*'ТИП-ПРОИЗ'!E32</f>
        <v>392325.61969999998</v>
      </c>
      <c r="F23" s="621">
        <f>F22*'ТИП-ПРОИЗ'!F32</f>
        <v>410201.35414999997</v>
      </c>
    </row>
    <row r="24" spans="1:7" ht="15.75">
      <c r="A24" s="601">
        <v>23</v>
      </c>
      <c r="B24" s="566" t="s">
        <v>757</v>
      </c>
      <c r="C24" s="664"/>
      <c r="D24" s="625"/>
      <c r="E24" s="87">
        <f>IF(SUM('ТИП-ПРОИЗ'!E32,'ТИП-ПРОИЗ'!E49)=0,0,E23/'ТИП-ПРОИЗ'!E69)</f>
        <v>0.35000000010761406</v>
      </c>
      <c r="F24" s="501">
        <f>IF(SUM('ТИП-ПРОИЗ'!F32,'ТИП-ПРОИЗ'!F49)=0,0,F23/'ТИП-ПРОИЗ'!F69)</f>
        <v>0.35000000013276306</v>
      </c>
    </row>
    <row r="25" spans="1:7" ht="12.75">
      <c r="A25" s="601">
        <v>24</v>
      </c>
      <c r="B25" s="74" t="s">
        <v>390</v>
      </c>
      <c r="C25" s="664"/>
      <c r="D25" s="664"/>
      <c r="E25" s="77">
        <f>'ТИП-ПРОИЗ'!E27*'ТИП-ПРОИЗ'!E42/1000</f>
        <v>48200.984640000002</v>
      </c>
      <c r="F25" s="502">
        <f>'ТИП-ПРОИЗ'!F27*'ТИП-ПРОИЗ'!F42/1000</f>
        <v>50397.062439944522</v>
      </c>
      <c r="G25" s="85"/>
    </row>
    <row r="26" spans="1:7" ht="12.75">
      <c r="A26" s="601">
        <v>25</v>
      </c>
      <c r="B26" s="74" t="s">
        <v>389</v>
      </c>
      <c r="C26" s="664"/>
      <c r="D26" s="664"/>
      <c r="E26" s="83">
        <f>SUM('ТИП-ПРОИЗ'!E68,-E25)</f>
        <v>89513.314477657143</v>
      </c>
      <c r="F26" s="503">
        <f>SUM('ТИП-ПРОИЗ'!F68,-F25)</f>
        <v>93591.984268294254</v>
      </c>
      <c r="G26" s="85"/>
    </row>
    <row r="27" spans="1:7" ht="14.25">
      <c r="A27" s="601">
        <v>26</v>
      </c>
      <c r="B27" s="665" t="s">
        <v>758</v>
      </c>
      <c r="C27" s="666" t="s">
        <v>759</v>
      </c>
      <c r="D27" s="625" t="s">
        <v>7</v>
      </c>
      <c r="E27" s="504">
        <f>IF(SUM('ТИП-ПРОИЗ'!E8,'ТИП-ПРОИЗ'!E27)=0,0,'ТИП-ПРОИЗ'!E27/SUM('ТИП-ПРОИЗ'!E8,'ТИП-ПРОИЗ'!E27))</f>
        <v>0.33718266709935329</v>
      </c>
      <c r="F27" s="505">
        <f>IF(SUM('ТИП-ПРОИЗ'!F8,'ТИП-ПРОИЗ'!F27)=0,0,'ТИП-ПРОИЗ'!F27/SUM('ТИП-ПРОИЗ'!F8,'ТИП-ПРОИЗ'!F27))</f>
        <v>0.33545820584393932</v>
      </c>
      <c r="G27" s="85"/>
    </row>
    <row r="28" spans="1:7" s="626" customFormat="1" ht="14.25" customHeight="1">
      <c r="A28" s="601">
        <v>27</v>
      </c>
      <c r="B28" s="623" t="s">
        <v>677</v>
      </c>
      <c r="C28" s="624" t="s">
        <v>81</v>
      </c>
      <c r="D28" s="625" t="s">
        <v>23</v>
      </c>
      <c r="E28" s="608">
        <v>1362255.9172441042</v>
      </c>
      <c r="F28" s="605">
        <v>1362255.9172441042</v>
      </c>
    </row>
    <row r="29" spans="1:7" s="626" customFormat="1" ht="14.25" customHeight="1">
      <c r="A29" s="601">
        <v>28</v>
      </c>
      <c r="B29" s="623" t="s">
        <v>678</v>
      </c>
      <c r="C29" s="624" t="s">
        <v>213</v>
      </c>
      <c r="D29" s="625" t="s">
        <v>46</v>
      </c>
      <c r="E29" s="608">
        <v>3442.2822808883552</v>
      </c>
      <c r="F29" s="605">
        <v>3442.2822808883552</v>
      </c>
    </row>
    <row r="30" spans="1:7" s="626" customFormat="1" ht="14.25" customHeight="1">
      <c r="A30" s="601">
        <v>29</v>
      </c>
      <c r="B30" s="623" t="s">
        <v>205</v>
      </c>
      <c r="C30" s="624" t="s">
        <v>81</v>
      </c>
      <c r="D30" s="625" t="s">
        <v>23</v>
      </c>
      <c r="E30" s="608">
        <v>41620.500463837765</v>
      </c>
      <c r="F30" s="605">
        <v>41620.500463837765</v>
      </c>
    </row>
    <row r="31" spans="1:7" s="626" customFormat="1" ht="14.25" customHeight="1">
      <c r="A31" s="601">
        <v>30</v>
      </c>
      <c r="B31" s="623" t="s">
        <v>206</v>
      </c>
      <c r="C31" s="624" t="s">
        <v>213</v>
      </c>
      <c r="D31" s="625" t="s">
        <v>46</v>
      </c>
      <c r="E31" s="608">
        <v>3450.7078648469756</v>
      </c>
      <c r="F31" s="605">
        <v>3450.7078648469756</v>
      </c>
    </row>
    <row r="32" spans="1:7" s="626" customFormat="1" ht="14.25" customHeight="1">
      <c r="A32" s="601">
        <v>31</v>
      </c>
      <c r="B32" s="627" t="s">
        <v>54</v>
      </c>
      <c r="C32" s="624" t="s">
        <v>55</v>
      </c>
      <c r="D32" s="625" t="s">
        <v>23</v>
      </c>
      <c r="E32" s="628">
        <f>SUM(E9,-E28)</f>
        <v>20789.743925119517</v>
      </c>
      <c r="F32" s="607">
        <f>SUM(F9,-F28)</f>
        <v>83806.166330035776</v>
      </c>
    </row>
    <row r="33" spans="1:7" s="626" customFormat="1" ht="14.25" customHeight="1">
      <c r="A33" s="601">
        <v>32</v>
      </c>
      <c r="B33" s="629" t="s">
        <v>56</v>
      </c>
      <c r="C33" s="624" t="s">
        <v>214</v>
      </c>
      <c r="D33" s="625" t="s">
        <v>46</v>
      </c>
      <c r="E33" s="608">
        <v>3450.7078648469756</v>
      </c>
      <c r="F33" s="605">
        <v>3450.7078648469756</v>
      </c>
    </row>
    <row r="34" spans="1:7" ht="12.75" customHeight="1">
      <c r="A34" s="601">
        <v>33</v>
      </c>
      <c r="B34" s="629" t="s">
        <v>78</v>
      </c>
      <c r="C34" s="603"/>
      <c r="D34" s="579" t="s">
        <v>70</v>
      </c>
      <c r="E34" s="628">
        <f>SUM(E35:E36)</f>
        <v>1905</v>
      </c>
      <c r="F34" s="607">
        <f>SUM(F35:F36)</f>
        <v>1905</v>
      </c>
    </row>
    <row r="35" spans="1:7" ht="12.75" customHeight="1">
      <c r="A35" s="601" t="s">
        <v>730</v>
      </c>
      <c r="B35" s="630" t="s">
        <v>207</v>
      </c>
      <c r="C35" s="603"/>
      <c r="D35" s="579" t="s">
        <v>70</v>
      </c>
      <c r="E35" s="608">
        <v>342</v>
      </c>
      <c r="F35" s="605">
        <v>342</v>
      </c>
    </row>
    <row r="36" spans="1:7" ht="12.75" customHeight="1">
      <c r="A36" s="601" t="s">
        <v>731</v>
      </c>
      <c r="B36" s="630" t="s">
        <v>208</v>
      </c>
      <c r="C36" s="603"/>
      <c r="D36" s="579" t="s">
        <v>70</v>
      </c>
      <c r="E36" s="608">
        <v>1563</v>
      </c>
      <c r="F36" s="605">
        <v>1563</v>
      </c>
    </row>
    <row r="37" spans="1:7" ht="14.25" customHeight="1">
      <c r="A37" s="601">
        <v>34</v>
      </c>
      <c r="B37" s="629" t="s">
        <v>57</v>
      </c>
      <c r="C37" s="603" t="s">
        <v>58</v>
      </c>
      <c r="D37" s="579" t="s">
        <v>23</v>
      </c>
      <c r="E37" s="608"/>
      <c r="F37" s="605"/>
      <c r="G37" s="636"/>
    </row>
    <row r="38" spans="1:7" ht="14.25" customHeight="1">
      <c r="A38" s="601">
        <v>35</v>
      </c>
      <c r="B38" s="629" t="s">
        <v>59</v>
      </c>
      <c r="C38" s="603" t="s">
        <v>215</v>
      </c>
      <c r="D38" s="579" t="s">
        <v>46</v>
      </c>
      <c r="E38" s="608"/>
      <c r="F38" s="605"/>
      <c r="G38" s="636"/>
    </row>
    <row r="39" spans="1:7" ht="14.25" customHeight="1">
      <c r="A39" s="601">
        <v>36</v>
      </c>
      <c r="B39" s="629" t="s">
        <v>718</v>
      </c>
      <c r="C39" s="603" t="s">
        <v>717</v>
      </c>
      <c r="D39" s="579"/>
      <c r="E39" s="631">
        <f>IF(E37=0,0,'ТИП-ПРОИЗ'!E47/Коефициенти!E37*3600)</f>
        <v>0</v>
      </c>
      <c r="F39" s="632">
        <f>IF(F37=0,0,'ТИП-ПРОИЗ'!F47/Коефициенти!F37*3600)</f>
        <v>0</v>
      </c>
    </row>
    <row r="40" spans="1:7" ht="14.25" customHeight="1">
      <c r="A40" s="601">
        <v>37</v>
      </c>
      <c r="B40" s="629" t="s">
        <v>715</v>
      </c>
      <c r="C40" s="603" t="s">
        <v>50</v>
      </c>
      <c r="D40" s="579" t="s">
        <v>716</v>
      </c>
      <c r="E40" s="631">
        <f>SUM(E38,-E39)/3600*860</f>
        <v>0</v>
      </c>
      <c r="F40" s="632">
        <f>SUM(F38,-F39)/3600*860</f>
        <v>0</v>
      </c>
    </row>
    <row r="41" spans="1:7" ht="14.25" customHeight="1">
      <c r="A41" s="601">
        <v>38</v>
      </c>
      <c r="B41" s="627" t="s">
        <v>60</v>
      </c>
      <c r="C41" s="609" t="s">
        <v>61</v>
      </c>
      <c r="D41" s="579" t="s">
        <v>23</v>
      </c>
      <c r="E41" s="608">
        <v>5642</v>
      </c>
      <c r="F41" s="605">
        <v>5642</v>
      </c>
    </row>
    <row r="42" spans="1:7" ht="14.25" customHeight="1">
      <c r="A42" s="601">
        <v>39</v>
      </c>
      <c r="B42" s="633" t="s">
        <v>62</v>
      </c>
      <c r="C42" s="603" t="s">
        <v>216</v>
      </c>
      <c r="D42" s="579" t="s">
        <v>46</v>
      </c>
      <c r="E42" s="608">
        <v>263</v>
      </c>
      <c r="F42" s="605">
        <v>263</v>
      </c>
    </row>
    <row r="43" spans="1:7" ht="14.25" customHeight="1">
      <c r="A43" s="601">
        <v>40</v>
      </c>
      <c r="B43" s="627" t="s">
        <v>82</v>
      </c>
      <c r="C43" s="609" t="s">
        <v>63</v>
      </c>
      <c r="D43" s="625" t="s">
        <v>23</v>
      </c>
      <c r="E43" s="604">
        <v>467206.30991696095</v>
      </c>
      <c r="F43" s="605">
        <v>467206.30991696095</v>
      </c>
    </row>
    <row r="44" spans="1:7" ht="14.25" customHeight="1">
      <c r="A44" s="601">
        <v>41</v>
      </c>
      <c r="B44" s="627" t="s">
        <v>64</v>
      </c>
      <c r="C44" s="609" t="s">
        <v>217</v>
      </c>
      <c r="D44" s="579" t="s">
        <v>46</v>
      </c>
      <c r="E44" s="604">
        <v>67.8</v>
      </c>
      <c r="F44" s="605">
        <v>67.8</v>
      </c>
    </row>
    <row r="45" spans="1:7" ht="14.25" customHeight="1">
      <c r="A45" s="601">
        <v>42</v>
      </c>
      <c r="B45" s="629" t="s">
        <v>65</v>
      </c>
      <c r="C45" s="603" t="s">
        <v>66</v>
      </c>
      <c r="D45" s="579" t="s">
        <v>414</v>
      </c>
      <c r="E45" s="604">
        <v>21478329.590443119</v>
      </c>
      <c r="F45" s="605">
        <v>21478329.590443119</v>
      </c>
    </row>
    <row r="46" spans="1:7" ht="14.25" customHeight="1">
      <c r="A46" s="601">
        <v>43</v>
      </c>
      <c r="B46" s="629" t="s">
        <v>67</v>
      </c>
      <c r="C46" s="603" t="s">
        <v>66</v>
      </c>
      <c r="D46" s="579" t="s">
        <v>414</v>
      </c>
      <c r="E46" s="604">
        <v>406266.35644953127</v>
      </c>
      <c r="F46" s="605">
        <v>406266.35644953127</v>
      </c>
    </row>
    <row r="47" spans="1:7" ht="14.25" customHeight="1">
      <c r="A47" s="601">
        <v>44</v>
      </c>
      <c r="B47" s="627" t="s">
        <v>68</v>
      </c>
      <c r="C47" s="603" t="s">
        <v>69</v>
      </c>
      <c r="D47" s="579" t="s">
        <v>70</v>
      </c>
      <c r="E47" s="604">
        <v>8405.406770165624</v>
      </c>
      <c r="F47" s="605">
        <v>8405.406770165624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233" t="s">
        <v>779</v>
      </c>
      <c r="B52" s="417"/>
      <c r="D52" s="634" t="str">
        <f>Разходи!$E$91</f>
        <v>Изп. директор:</v>
      </c>
      <c r="E52" s="635"/>
      <c r="F52" s="635"/>
      <c r="G52" s="636"/>
    </row>
    <row r="53" spans="1:7" ht="12.75">
      <c r="A53" s="103"/>
      <c r="B53" s="689" t="s">
        <v>780</v>
      </c>
      <c r="D53" s="636"/>
      <c r="E53" s="812" t="str">
        <f>Разходи!$F$93</f>
        <v xml:space="preserve"> /С.Желев/</v>
      </c>
      <c r="F53" s="812"/>
      <c r="G53" s="812"/>
    </row>
    <row r="54" spans="1:7" ht="14.25" customHeight="1">
      <c r="B54" s="626"/>
      <c r="C54" s="626"/>
      <c r="D54" s="626"/>
      <c r="E54" s="637"/>
      <c r="F54" s="637"/>
    </row>
    <row r="55" spans="1:7" ht="14.25" customHeight="1">
      <c r="B55" s="626"/>
      <c r="C55" s="626"/>
      <c r="D55" s="626"/>
      <c r="E55" s="638"/>
      <c r="F55" s="638"/>
    </row>
    <row r="56" spans="1:7" ht="14.25" customHeight="1">
      <c r="E56" s="639"/>
      <c r="F56" s="639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5"/>
      <c r="D62" s="19"/>
    </row>
    <row r="63" spans="1:7" ht="12.75">
      <c r="A63" s="75"/>
      <c r="D63" s="19"/>
    </row>
    <row r="64" spans="1:7" ht="12.75">
      <c r="A64" s="75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zoomScaleNormal="100" workbookViewId="0">
      <selection activeCell="B4" sqref="B4"/>
    </sheetView>
  </sheetViews>
  <sheetFormatPr defaultColWidth="0" defaultRowHeight="12.75" zeroHeight="1"/>
  <cols>
    <col min="1" max="1" width="3.5703125" style="129" customWidth="1"/>
    <col min="2" max="2" width="27.5703125" style="129" customWidth="1"/>
    <col min="3" max="3" width="8.5703125" style="129" customWidth="1"/>
    <col min="4" max="4" width="9.5703125" style="129" customWidth="1"/>
    <col min="5" max="12" width="8.5703125" style="129" customWidth="1"/>
    <col min="13" max="18" width="0" style="129" hidden="1" customWidth="1"/>
    <col min="19" max="19" width="10.5703125" style="129" hidden="1" customWidth="1"/>
    <col min="20" max="16384" width="0" style="129" hidden="1"/>
  </cols>
  <sheetData>
    <row r="1" spans="1:12" ht="12.75" customHeight="1">
      <c r="A1" s="149">
        <v>1</v>
      </c>
      <c r="B1" s="832" t="s">
        <v>601</v>
      </c>
      <c r="C1" s="832"/>
      <c r="D1" s="832"/>
      <c r="E1" s="832"/>
      <c r="F1" s="832"/>
      <c r="G1" s="832"/>
      <c r="H1" s="832"/>
      <c r="I1" s="832"/>
      <c r="J1" s="509"/>
      <c r="K1" s="130" t="s">
        <v>697</v>
      </c>
    </row>
    <row r="2" spans="1:12" ht="12.75" customHeight="1">
      <c r="B2" s="832" t="str">
        <f>'ТИП-ПРОИЗ'!$B$3</f>
        <v>"Топлофикация-Русе" ЕАД</v>
      </c>
      <c r="C2" s="832"/>
      <c r="D2" s="832"/>
      <c r="E2" s="832"/>
      <c r="F2" s="832"/>
      <c r="G2" s="832"/>
      <c r="H2" s="832"/>
      <c r="I2" s="832"/>
      <c r="J2" s="509"/>
      <c r="K2" s="509"/>
    </row>
    <row r="3" spans="1:12"/>
    <row r="4" spans="1:12">
      <c r="A4" s="150" t="s">
        <v>0</v>
      </c>
      <c r="B4" s="151" t="s">
        <v>387</v>
      </c>
      <c r="C4" s="150" t="s">
        <v>380</v>
      </c>
      <c r="D4" s="830">
        <f>IF(D6=0,0,(D6/D8-D7)*860/D6)</f>
        <v>0</v>
      </c>
      <c r="E4" s="830"/>
      <c r="F4" s="830"/>
      <c r="G4" s="830"/>
      <c r="H4" s="830"/>
      <c r="I4" s="830"/>
      <c r="J4" s="830"/>
      <c r="K4" s="830"/>
    </row>
    <row r="5" spans="1:12">
      <c r="A5" s="141">
        <v>1</v>
      </c>
      <c r="B5" s="141" t="s">
        <v>461</v>
      </c>
      <c r="C5" s="104"/>
      <c r="D5" s="104" t="s">
        <v>152</v>
      </c>
      <c r="E5" s="104" t="s">
        <v>234</v>
      </c>
      <c r="F5" s="104" t="s">
        <v>235</v>
      </c>
      <c r="G5" s="104" t="s">
        <v>236</v>
      </c>
      <c r="H5" s="104" t="s">
        <v>237</v>
      </c>
      <c r="I5" s="104" t="s">
        <v>238</v>
      </c>
      <c r="J5" s="104" t="s">
        <v>239</v>
      </c>
      <c r="K5" s="104" t="s">
        <v>444</v>
      </c>
    </row>
    <row r="6" spans="1:12">
      <c r="A6" s="104" t="s">
        <v>255</v>
      </c>
      <c r="B6" s="152" t="s">
        <v>663</v>
      </c>
      <c r="C6" s="104" t="s">
        <v>241</v>
      </c>
      <c r="D6" s="153">
        <f>SUM(E6:K6)</f>
        <v>0</v>
      </c>
      <c r="E6" s="64"/>
      <c r="F6" s="64"/>
      <c r="G6" s="64"/>
      <c r="H6" s="64"/>
      <c r="I6" s="64"/>
      <c r="J6" s="64"/>
      <c r="K6" s="64"/>
    </row>
    <row r="7" spans="1:12">
      <c r="A7" s="104" t="s">
        <v>256</v>
      </c>
      <c r="B7" s="152" t="s">
        <v>163</v>
      </c>
      <c r="C7" s="104" t="s">
        <v>240</v>
      </c>
      <c r="D7" s="153">
        <f>SUM(E7:K7)</f>
        <v>0</v>
      </c>
      <c r="E7" s="64"/>
      <c r="F7" s="64"/>
      <c r="G7" s="64"/>
      <c r="H7" s="64"/>
      <c r="I7" s="64"/>
      <c r="J7" s="64"/>
      <c r="K7" s="64"/>
    </row>
    <row r="8" spans="1:12">
      <c r="A8" s="104" t="s">
        <v>257</v>
      </c>
      <c r="B8" s="152" t="s">
        <v>242</v>
      </c>
      <c r="C8" s="104" t="s">
        <v>7</v>
      </c>
      <c r="D8" s="154">
        <f>IF(D6=0,0,SUMPRODUCT(E8:K8,E6:K6)/D6)</f>
        <v>0</v>
      </c>
      <c r="E8" s="65"/>
      <c r="F8" s="65"/>
      <c r="G8" s="65"/>
      <c r="H8" s="65"/>
      <c r="I8" s="65"/>
      <c r="J8" s="65"/>
      <c r="K8" s="65"/>
    </row>
    <row r="9" spans="1:12">
      <c r="A9" s="104" t="s">
        <v>258</v>
      </c>
      <c r="B9" s="152" t="s">
        <v>243</v>
      </c>
      <c r="C9" s="104" t="s">
        <v>7</v>
      </c>
      <c r="D9" s="154">
        <f>IF(D7=0,0,SUMPRODUCT(E9:K9,E7:K7)/D7)</f>
        <v>0</v>
      </c>
      <c r="E9" s="65"/>
      <c r="F9" s="65"/>
      <c r="G9" s="65"/>
      <c r="H9" s="65"/>
      <c r="I9" s="65"/>
      <c r="J9" s="65"/>
      <c r="K9" s="65"/>
    </row>
    <row r="10" spans="1:12">
      <c r="A10" s="104" t="s">
        <v>259</v>
      </c>
      <c r="B10" s="152" t="s">
        <v>388</v>
      </c>
      <c r="C10" s="104" t="s">
        <v>7</v>
      </c>
      <c r="D10" s="155">
        <f>SUM(D8:D9)</f>
        <v>0</v>
      </c>
      <c r="E10" s="155">
        <f t="shared" ref="E10:J10" si="0">SUM(E8:E9)</f>
        <v>0</v>
      </c>
      <c r="F10" s="155">
        <f t="shared" si="0"/>
        <v>0</v>
      </c>
      <c r="G10" s="155">
        <f t="shared" si="0"/>
        <v>0</v>
      </c>
      <c r="H10" s="155">
        <f t="shared" si="0"/>
        <v>0</v>
      </c>
      <c r="I10" s="155">
        <f t="shared" si="0"/>
        <v>0</v>
      </c>
      <c r="J10" s="155">
        <f t="shared" si="0"/>
        <v>0</v>
      </c>
      <c r="K10" s="155">
        <f>SUM(K8:K9)</f>
        <v>0</v>
      </c>
    </row>
    <row r="11" spans="1:12"/>
    <row r="12" spans="1:12">
      <c r="B12" s="831" t="s">
        <v>460</v>
      </c>
      <c r="C12" s="831"/>
      <c r="D12" s="831"/>
      <c r="E12" s="831"/>
      <c r="F12" s="831"/>
      <c r="G12" s="831"/>
      <c r="H12" s="831"/>
      <c r="I12" s="831"/>
      <c r="J12" s="831"/>
      <c r="K12" s="831"/>
    </row>
    <row r="13" spans="1:12"/>
    <row r="14" spans="1:12">
      <c r="A14" s="150" t="s">
        <v>0</v>
      </c>
      <c r="B14" s="141" t="s">
        <v>461</v>
      </c>
      <c r="C14" s="150" t="s">
        <v>380</v>
      </c>
      <c r="D14" s="821">
        <f>IF(D16=0,0,IF(D29=0,SUM(D16/D17,D26,D37/D39,-D22,-D42,-D43)*860/SUM(D16,D41),SUM(D16/D17,D26,-D30,-D31)*860/SUM(D16,D29)))</f>
        <v>0</v>
      </c>
      <c r="E14" s="822"/>
      <c r="F14" s="822"/>
      <c r="G14" s="822"/>
      <c r="H14" s="823"/>
      <c r="I14" s="818">
        <f>IF(I16=0,0,SUM(I16/I17,I26,-I19)*860/I16)</f>
        <v>0</v>
      </c>
      <c r="J14" s="819"/>
      <c r="K14" s="820"/>
    </row>
    <row r="15" spans="1:12">
      <c r="A15" s="141">
        <v>2</v>
      </c>
      <c r="B15" s="472" t="s">
        <v>459</v>
      </c>
      <c r="C15" s="104"/>
      <c r="D15" s="412" t="s">
        <v>152</v>
      </c>
      <c r="E15" s="104" t="s">
        <v>268</v>
      </c>
      <c r="F15" s="104"/>
      <c r="G15" s="104"/>
      <c r="H15" s="104"/>
      <c r="I15" s="473" t="s">
        <v>152</v>
      </c>
      <c r="J15" s="104" t="s">
        <v>268</v>
      </c>
      <c r="K15" s="104" t="s">
        <v>269</v>
      </c>
      <c r="L15" s="66"/>
    </row>
    <row r="16" spans="1:12">
      <c r="A16" s="104" t="s">
        <v>271</v>
      </c>
      <c r="B16" s="152" t="s">
        <v>664</v>
      </c>
      <c r="C16" s="104" t="s">
        <v>241</v>
      </c>
      <c r="D16" s="474">
        <f>SUM(E16:H16)</f>
        <v>0</v>
      </c>
      <c r="E16" s="475"/>
      <c r="F16" s="475"/>
      <c r="G16" s="475"/>
      <c r="H16" s="475"/>
      <c r="I16" s="474">
        <f>SUM(J16:K16)</f>
        <v>0</v>
      </c>
      <c r="J16" s="475"/>
      <c r="K16" s="475"/>
      <c r="L16" s="66"/>
    </row>
    <row r="17" spans="1:12">
      <c r="A17" s="104" t="s">
        <v>272</v>
      </c>
      <c r="B17" s="152" t="s">
        <v>270</v>
      </c>
      <c r="C17" s="104" t="s">
        <v>7</v>
      </c>
      <c r="D17" s="154">
        <f>IF(D16=0,0,SUMPRODUCT(E16:H16,E17:H17)/D16)</f>
        <v>0</v>
      </c>
      <c r="E17" s="65"/>
      <c r="F17" s="65"/>
      <c r="G17" s="65"/>
      <c r="H17" s="65"/>
      <c r="I17" s="154">
        <f>IF(I16=0,0,SUMPRODUCT(J16:K16,J17:K17)/I16)</f>
        <v>0</v>
      </c>
      <c r="J17" s="65"/>
      <c r="K17" s="65"/>
      <c r="L17" s="66"/>
    </row>
    <row r="18" spans="1:12">
      <c r="A18" s="141">
        <v>3</v>
      </c>
      <c r="B18" s="152" t="s">
        <v>653</v>
      </c>
      <c r="C18" s="104"/>
      <c r="D18" s="154"/>
      <c r="E18" s="476" t="s">
        <v>651</v>
      </c>
      <c r="F18" s="476"/>
      <c r="G18" s="476"/>
      <c r="H18" s="476"/>
      <c r="I18" s="154"/>
      <c r="J18" s="476" t="s">
        <v>651</v>
      </c>
      <c r="K18" s="476" t="s">
        <v>652</v>
      </c>
      <c r="L18" s="66"/>
    </row>
    <row r="19" spans="1:12">
      <c r="A19" s="104" t="s">
        <v>260</v>
      </c>
      <c r="B19" s="152" t="s">
        <v>442</v>
      </c>
      <c r="C19" s="104" t="s">
        <v>240</v>
      </c>
      <c r="D19" s="474">
        <f>SUM(E19:H19)</f>
        <v>0</v>
      </c>
      <c r="E19" s="477">
        <f>SUM(E20:E22)</f>
        <v>0</v>
      </c>
      <c r="F19" s="477">
        <f>SUM(F20:F22)</f>
        <v>0</v>
      </c>
      <c r="G19" s="477">
        <f>SUM(G20:G22)</f>
        <v>0</v>
      </c>
      <c r="H19" s="477">
        <f>SUM(H20:H22)</f>
        <v>0</v>
      </c>
      <c r="I19" s="474">
        <f>SUM(J19:K19)</f>
        <v>0</v>
      </c>
      <c r="J19" s="477">
        <f>SUM(J20:J22)</f>
        <v>0</v>
      </c>
      <c r="K19" s="477">
        <f>SUM(K20:K22)</f>
        <v>0</v>
      </c>
      <c r="L19" s="66"/>
    </row>
    <row r="20" spans="1:12">
      <c r="A20" s="104" t="s">
        <v>261</v>
      </c>
      <c r="B20" s="152" t="s">
        <v>446</v>
      </c>
      <c r="C20" s="104" t="s">
        <v>240</v>
      </c>
      <c r="D20" s="474">
        <f>SUM(E20:H20)</f>
        <v>0</v>
      </c>
      <c r="E20" s="475"/>
      <c r="F20" s="475"/>
      <c r="G20" s="475"/>
      <c r="H20" s="475"/>
      <c r="I20" s="474">
        <f>SUM(J20:K20)</f>
        <v>0</v>
      </c>
      <c r="J20" s="475"/>
      <c r="K20" s="475"/>
      <c r="L20" s="66"/>
    </row>
    <row r="21" spans="1:12">
      <c r="A21" s="104" t="s">
        <v>551</v>
      </c>
      <c r="B21" s="152" t="s">
        <v>445</v>
      </c>
      <c r="C21" s="104" t="s">
        <v>240</v>
      </c>
      <c r="D21" s="474">
        <f>SUM(E21:H21)</f>
        <v>0</v>
      </c>
      <c r="E21" s="475"/>
      <c r="F21" s="475"/>
      <c r="G21" s="475"/>
      <c r="H21" s="475"/>
      <c r="I21" s="474">
        <f>SUM(J21:K21)</f>
        <v>0</v>
      </c>
      <c r="J21" s="475"/>
      <c r="K21" s="475"/>
      <c r="L21" s="66"/>
    </row>
    <row r="22" spans="1:12">
      <c r="A22" s="104" t="s">
        <v>599</v>
      </c>
      <c r="B22" s="152" t="s">
        <v>447</v>
      </c>
      <c r="C22" s="104" t="s">
        <v>240</v>
      </c>
      <c r="D22" s="474">
        <f>SUM(E22:H22)</f>
        <v>0</v>
      </c>
      <c r="E22" s="475"/>
      <c r="F22" s="475"/>
      <c r="G22" s="475"/>
      <c r="H22" s="475"/>
      <c r="I22" s="474">
        <f>SUM(J22:K22)</f>
        <v>0</v>
      </c>
      <c r="J22" s="475"/>
      <c r="K22" s="475"/>
      <c r="L22" s="66"/>
    </row>
    <row r="23" spans="1:12">
      <c r="A23" s="104" t="s">
        <v>552</v>
      </c>
      <c r="B23" s="152" t="s">
        <v>443</v>
      </c>
      <c r="C23" s="104" t="s">
        <v>7</v>
      </c>
      <c r="D23" s="154">
        <f t="shared" ref="D23:K23" si="1">IF(D17=0,0,IF((D16/D17)=0,0,SUM(D21:D22)/(D16/D17)))</f>
        <v>0</v>
      </c>
      <c r="E23" s="154">
        <f t="shared" si="1"/>
        <v>0</v>
      </c>
      <c r="F23" s="154">
        <f t="shared" si="1"/>
        <v>0</v>
      </c>
      <c r="G23" s="154">
        <f t="shared" si="1"/>
        <v>0</v>
      </c>
      <c r="H23" s="154">
        <f t="shared" si="1"/>
        <v>0</v>
      </c>
      <c r="I23" s="154">
        <f t="shared" si="1"/>
        <v>0</v>
      </c>
      <c r="J23" s="154">
        <f t="shared" si="1"/>
        <v>0</v>
      </c>
      <c r="K23" s="154">
        <f t="shared" si="1"/>
        <v>0</v>
      </c>
      <c r="L23" s="66"/>
    </row>
    <row r="24" spans="1:12">
      <c r="A24" s="104" t="s">
        <v>553</v>
      </c>
      <c r="B24" s="152" t="s">
        <v>315</v>
      </c>
      <c r="C24" s="104" t="s">
        <v>162</v>
      </c>
      <c r="D24" s="474">
        <f>SUM(E24:H24)</f>
        <v>0</v>
      </c>
      <c r="E24" s="478"/>
      <c r="F24" s="478"/>
      <c r="G24" s="478"/>
      <c r="H24" s="478"/>
      <c r="I24" s="474">
        <f>SUM(J24:K24)</f>
        <v>0</v>
      </c>
      <c r="J24" s="478"/>
      <c r="K24" s="478"/>
      <c r="L24" s="66"/>
    </row>
    <row r="25" spans="1:12">
      <c r="A25" s="104" t="s">
        <v>554</v>
      </c>
      <c r="B25" s="152" t="s">
        <v>316</v>
      </c>
      <c r="C25" s="104" t="s">
        <v>162</v>
      </c>
      <c r="D25" s="474">
        <f>SUM(E25:H25)</f>
        <v>0</v>
      </c>
      <c r="E25" s="478"/>
      <c r="F25" s="478"/>
      <c r="G25" s="478"/>
      <c r="H25" s="478"/>
      <c r="I25" s="474">
        <f>SUM(J25:K25)</f>
        <v>0</v>
      </c>
      <c r="J25" s="478"/>
      <c r="K25" s="478"/>
      <c r="L25" s="66"/>
    </row>
    <row r="26" spans="1:12">
      <c r="A26" s="104" t="s">
        <v>654</v>
      </c>
      <c r="B26" s="152" t="s">
        <v>649</v>
      </c>
      <c r="C26" s="470" t="s">
        <v>164</v>
      </c>
      <c r="D26" s="474">
        <f>SUM(E26:H26)</f>
        <v>0</v>
      </c>
      <c r="E26" s="478"/>
      <c r="F26" s="478"/>
      <c r="G26" s="478"/>
      <c r="H26" s="478"/>
      <c r="I26" s="474"/>
      <c r="J26" s="478"/>
      <c r="K26" s="478"/>
      <c r="L26" s="66"/>
    </row>
    <row r="27" spans="1:12">
      <c r="A27" s="104" t="s">
        <v>555</v>
      </c>
      <c r="B27" s="152" t="s">
        <v>661</v>
      </c>
      <c r="C27" s="470" t="s">
        <v>7</v>
      </c>
      <c r="D27" s="479">
        <f t="shared" ref="D27:K27" si="2">IF(D16=0,0,IF((1-D17)=0,0,IF(D17=0,0,D19/(D16*(1-D17)/D17+D26))))</f>
        <v>0</v>
      </c>
      <c r="E27" s="479">
        <f t="shared" si="2"/>
        <v>0</v>
      </c>
      <c r="F27" s="479">
        <f t="shared" si="2"/>
        <v>0</v>
      </c>
      <c r="G27" s="479">
        <f t="shared" si="2"/>
        <v>0</v>
      </c>
      <c r="H27" s="479">
        <f t="shared" si="2"/>
        <v>0</v>
      </c>
      <c r="I27" s="479">
        <f t="shared" si="2"/>
        <v>0</v>
      </c>
      <c r="J27" s="479">
        <f t="shared" si="2"/>
        <v>0</v>
      </c>
      <c r="K27" s="479">
        <f t="shared" si="2"/>
        <v>0</v>
      </c>
      <c r="L27" s="66"/>
    </row>
    <row r="28" spans="1:12">
      <c r="A28" s="104">
        <v>4</v>
      </c>
      <c r="B28" s="152" t="s">
        <v>656</v>
      </c>
      <c r="C28" s="470"/>
      <c r="D28" s="154"/>
      <c r="E28" s="104" t="s">
        <v>706</v>
      </c>
      <c r="F28" s="104"/>
      <c r="G28" s="104"/>
      <c r="H28" s="104"/>
      <c r="I28" s="824"/>
      <c r="J28" s="827"/>
      <c r="K28" s="827"/>
      <c r="L28" s="66"/>
    </row>
    <row r="29" spans="1:12">
      <c r="A29" s="104" t="s">
        <v>251</v>
      </c>
      <c r="B29" s="152" t="s">
        <v>665</v>
      </c>
      <c r="C29" s="470" t="s">
        <v>241</v>
      </c>
      <c r="D29" s="474">
        <f>SUM(E29:H29)</f>
        <v>0</v>
      </c>
      <c r="E29" s="475"/>
      <c r="F29" s="475"/>
      <c r="G29" s="475"/>
      <c r="H29" s="475"/>
      <c r="I29" s="825"/>
      <c r="J29" s="828"/>
      <c r="K29" s="828"/>
      <c r="L29" s="66"/>
    </row>
    <row r="30" spans="1:12">
      <c r="A30" s="104" t="s">
        <v>252</v>
      </c>
      <c r="B30" s="152" t="s">
        <v>452</v>
      </c>
      <c r="C30" s="470" t="s">
        <v>240</v>
      </c>
      <c r="D30" s="474">
        <f>SUM(E30:H30)</f>
        <v>0</v>
      </c>
      <c r="E30" s="478"/>
      <c r="F30" s="478"/>
      <c r="G30" s="478"/>
      <c r="H30" s="478"/>
      <c r="I30" s="825"/>
      <c r="J30" s="828"/>
      <c r="K30" s="828"/>
      <c r="L30" s="66"/>
    </row>
    <row r="31" spans="1:12">
      <c r="A31" s="104" t="s">
        <v>556</v>
      </c>
      <c r="B31" s="152" t="s">
        <v>453</v>
      </c>
      <c r="C31" s="470" t="s">
        <v>240</v>
      </c>
      <c r="D31" s="474">
        <f>SUM(E31:H31)</f>
        <v>0</v>
      </c>
      <c r="E31" s="478"/>
      <c r="F31" s="478"/>
      <c r="G31" s="478"/>
      <c r="H31" s="478"/>
      <c r="I31" s="825"/>
      <c r="J31" s="828"/>
      <c r="K31" s="828"/>
      <c r="L31" s="66"/>
    </row>
    <row r="32" spans="1:12">
      <c r="A32" s="104" t="s">
        <v>557</v>
      </c>
      <c r="B32" s="480" t="s">
        <v>455</v>
      </c>
      <c r="C32" s="104" t="s">
        <v>162</v>
      </c>
      <c r="D32" s="474">
        <f>SUM(E32:H32)</f>
        <v>0</v>
      </c>
      <c r="E32" s="478"/>
      <c r="F32" s="478"/>
      <c r="G32" s="478"/>
      <c r="H32" s="478"/>
      <c r="I32" s="825"/>
      <c r="J32" s="828"/>
      <c r="K32" s="828"/>
      <c r="L32" s="66"/>
    </row>
    <row r="33" spans="1:12">
      <c r="A33" s="104" t="s">
        <v>558</v>
      </c>
      <c r="B33" s="480" t="s">
        <v>454</v>
      </c>
      <c r="C33" s="104" t="s">
        <v>162</v>
      </c>
      <c r="D33" s="474">
        <f>SUM(E33:H33)</f>
        <v>0</v>
      </c>
      <c r="E33" s="478"/>
      <c r="F33" s="478"/>
      <c r="G33" s="478"/>
      <c r="H33" s="478"/>
      <c r="I33" s="826"/>
      <c r="J33" s="829"/>
      <c r="K33" s="829"/>
      <c r="L33" s="66"/>
    </row>
    <row r="34" spans="1:12" ht="14.25">
      <c r="A34" s="104" t="s">
        <v>559</v>
      </c>
      <c r="B34" s="471" t="s">
        <v>666</v>
      </c>
      <c r="C34" s="104" t="s">
        <v>595</v>
      </c>
      <c r="D34" s="109">
        <f>IF(D29=0,0,IF(D17=0,0,IF(SUM(D16,D29)=0,0,SUM(D16/D17,D26,-D22,-D30,-D31)/SUM(D16,D29)*1000)))</f>
        <v>0</v>
      </c>
      <c r="E34" s="109">
        <f>IF(E29=0,0,IF(E17=0,0,IF(SUM(E16,E29)=0,0,SUM(E16/E17,E26,-E22,-E30,-E31)/SUM(E16,E29)*1000)))</f>
        <v>0</v>
      </c>
      <c r="F34" s="109">
        <f>IF(F29=0,0,IF(F17=0,0,IF(SUM(F16,F29)=0,0,SUM(F16/F17,F26,-F22,-F30,-F31)/SUM(F16,F29)*1000)))</f>
        <v>0</v>
      </c>
      <c r="G34" s="109">
        <f>IF(G29=0,0,IF(G17=0,0,IF(SUM(G16,G29)=0,0,SUM(G16/G17,G26,-G22,-G30,-G31)/SUM(G16,G29)*1000)))</f>
        <v>0</v>
      </c>
      <c r="H34" s="109">
        <f>IF(H29=0,0,IF(H17=0,0,IF(SUM(H16,H29)=0,0,SUM(H16/H17,H26,-H22,-H30,-H31)/SUM(H16,H29)*1000)))</f>
        <v>0</v>
      </c>
      <c r="I34" s="109">
        <f>IF(I17=0,0,IF(I16=0,0,SUM(I16/I17,I26,-I20,-I21,-I22)*860/I16))</f>
        <v>0</v>
      </c>
      <c r="J34" s="109">
        <f>IF(J17=0,0,IF(J16=0,0,SUM(J16/J17,J26,-J20,-J21,-J22)*860/J16))</f>
        <v>0</v>
      </c>
      <c r="K34" s="109">
        <f>IF(K17=0,0,IF(K16=0,0,SUM(K16/K17,K26,-K20,-K21,-K22)*860/K16))</f>
        <v>0</v>
      </c>
      <c r="L34" s="66"/>
    </row>
    <row r="35" spans="1:12">
      <c r="A35" s="141">
        <v>5</v>
      </c>
      <c r="B35" s="152" t="s">
        <v>388</v>
      </c>
      <c r="C35" s="104" t="s">
        <v>7</v>
      </c>
      <c r="D35" s="155">
        <f>IF(D17=0,0,IF(D29=0,0,IF(SUM(D16/D17,D26)=0,0,SUM(D16,D29,D22,D30:D31)/SUM(D16/D17,D26))))</f>
        <v>0</v>
      </c>
      <c r="E35" s="155">
        <f>IF(E17=0,0,IF(E29=0,0,IF(SUM(E16/E17,E26)=0,0,SUM(E16,E29,E22,E30:E31)/SUM(E16/E17,E26))))</f>
        <v>0</v>
      </c>
      <c r="F35" s="155">
        <f>IF(F17=0,0,IF(F29=0,0,IF(SUM(F16/F17,F26)=0,0,SUM(F16,F29,F22,F30:F31)/SUM(F16/F17,F26))))</f>
        <v>0</v>
      </c>
      <c r="G35" s="155">
        <f>IF(G17=0,0,IF(G29=0,0,IF(SUM(G16/G17,G26)=0,0,SUM(G16,G29,G22,G30:G31)/SUM(G16/G17,G26))))</f>
        <v>0</v>
      </c>
      <c r="H35" s="155">
        <f>IF(H17=0,0,IF(H29=0,0,IF(SUM(H16/H17,H26)=0,0,SUM(H16,H29,H22,H30:H31)/SUM(H16/H17,H26))))</f>
        <v>0</v>
      </c>
      <c r="I35" s="156">
        <f>SUM(I17,I23)</f>
        <v>0</v>
      </c>
      <c r="J35" s="155">
        <f>SUM(J17,J23)</f>
        <v>0</v>
      </c>
      <c r="K35" s="155">
        <f>SUM(K17,K23)</f>
        <v>0</v>
      </c>
      <c r="L35" s="66"/>
    </row>
    <row r="36" spans="1:12">
      <c r="A36" s="104">
        <v>6</v>
      </c>
      <c r="B36" s="152" t="s">
        <v>655</v>
      </c>
      <c r="C36" s="470"/>
      <c r="D36" s="474"/>
      <c r="E36" s="481" t="s">
        <v>456</v>
      </c>
      <c r="F36" s="481" t="s">
        <v>457</v>
      </c>
      <c r="G36" s="481" t="s">
        <v>458</v>
      </c>
      <c r="H36" s="481" t="s">
        <v>650</v>
      </c>
      <c r="L36" s="66"/>
    </row>
    <row r="37" spans="1:12">
      <c r="A37" s="104" t="s">
        <v>500</v>
      </c>
      <c r="B37" s="152" t="s">
        <v>448</v>
      </c>
      <c r="C37" s="470" t="s">
        <v>240</v>
      </c>
      <c r="D37" s="474">
        <f>SUM(E37:H37)</f>
        <v>0</v>
      </c>
      <c r="E37" s="478"/>
      <c r="F37" s="478"/>
      <c r="G37" s="478"/>
      <c r="H37" s="478"/>
      <c r="L37" s="66"/>
    </row>
    <row r="38" spans="1:12">
      <c r="A38" s="104" t="s">
        <v>501</v>
      </c>
      <c r="B38" s="152" t="s">
        <v>449</v>
      </c>
      <c r="C38" s="470" t="s">
        <v>162</v>
      </c>
      <c r="D38" s="474">
        <f>SUM(E38:H38)</f>
        <v>0</v>
      </c>
      <c r="E38" s="478"/>
      <c r="F38" s="478"/>
      <c r="G38" s="478"/>
      <c r="H38" s="478"/>
      <c r="L38" s="66"/>
    </row>
    <row r="39" spans="1:12">
      <c r="A39" s="104" t="s">
        <v>658</v>
      </c>
      <c r="B39" s="482" t="s">
        <v>451</v>
      </c>
      <c r="C39" s="470" t="s">
        <v>7</v>
      </c>
      <c r="D39" s="154">
        <f>IF(D37=0,0,SUMPRODUCT(E37:H37,E39:H39)/D37)</f>
        <v>0</v>
      </c>
      <c r="E39" s="65"/>
      <c r="F39" s="65"/>
      <c r="G39" s="65"/>
      <c r="H39" s="65"/>
      <c r="L39" s="66"/>
    </row>
    <row r="40" spans="1:12">
      <c r="A40" s="104">
        <v>7</v>
      </c>
      <c r="B40" s="152" t="s">
        <v>657</v>
      </c>
      <c r="C40" s="470"/>
      <c r="D40" s="154"/>
      <c r="E40" s="104" t="s">
        <v>589</v>
      </c>
      <c r="F40" s="104" t="s">
        <v>590</v>
      </c>
      <c r="G40" s="104" t="s">
        <v>591</v>
      </c>
      <c r="H40" s="104" t="s">
        <v>592</v>
      </c>
      <c r="L40" s="66"/>
    </row>
    <row r="41" spans="1:12">
      <c r="A41" s="104" t="s">
        <v>506</v>
      </c>
      <c r="B41" s="482" t="s">
        <v>450</v>
      </c>
      <c r="C41" s="470" t="s">
        <v>241</v>
      </c>
      <c r="D41" s="474">
        <f>SUM(E41:H41)</f>
        <v>0</v>
      </c>
      <c r="E41" s="475"/>
      <c r="F41" s="475"/>
      <c r="G41" s="475"/>
      <c r="H41" s="475"/>
      <c r="L41" s="66"/>
    </row>
    <row r="42" spans="1:12">
      <c r="A42" s="104" t="s">
        <v>507</v>
      </c>
      <c r="B42" s="152" t="s">
        <v>452</v>
      </c>
      <c r="C42" s="470" t="s">
        <v>240</v>
      </c>
      <c r="D42" s="474">
        <f>SUM(E42:H42)</f>
        <v>0</v>
      </c>
      <c r="E42" s="478"/>
      <c r="F42" s="478"/>
      <c r="G42" s="478"/>
      <c r="H42" s="478"/>
      <c r="L42" s="66"/>
    </row>
    <row r="43" spans="1:12">
      <c r="A43" s="104" t="s">
        <v>508</v>
      </c>
      <c r="B43" s="152" t="s">
        <v>453</v>
      </c>
      <c r="C43" s="470" t="s">
        <v>240</v>
      </c>
      <c r="D43" s="474">
        <f>SUM(E43:H43)</f>
        <v>0</v>
      </c>
      <c r="E43" s="478"/>
      <c r="F43" s="478"/>
      <c r="G43" s="478"/>
      <c r="H43" s="478"/>
      <c r="L43" s="66"/>
    </row>
    <row r="44" spans="1:12">
      <c r="A44" s="104" t="s">
        <v>659</v>
      </c>
      <c r="B44" s="480" t="s">
        <v>455</v>
      </c>
      <c r="C44" s="104" t="s">
        <v>162</v>
      </c>
      <c r="D44" s="474">
        <f>SUM(E44:H44)</f>
        <v>0</v>
      </c>
      <c r="E44" s="478"/>
      <c r="F44" s="478"/>
      <c r="G44" s="478"/>
      <c r="H44" s="478"/>
      <c r="L44" s="66"/>
    </row>
    <row r="45" spans="1:12">
      <c r="A45" s="104" t="s">
        <v>660</v>
      </c>
      <c r="B45" s="480" t="s">
        <v>454</v>
      </c>
      <c r="C45" s="104" t="s">
        <v>162</v>
      </c>
      <c r="D45" s="474">
        <f>SUM(E45:H45)</f>
        <v>0</v>
      </c>
      <c r="E45" s="478"/>
      <c r="F45" s="478"/>
      <c r="G45" s="478"/>
      <c r="H45" s="478"/>
      <c r="L45" s="66"/>
    </row>
    <row r="46" spans="1:12" ht="14.25">
      <c r="A46" s="104" t="s">
        <v>667</v>
      </c>
      <c r="B46" s="471" t="s">
        <v>666</v>
      </c>
      <c r="C46" s="104" t="s">
        <v>595</v>
      </c>
      <c r="D46" s="109">
        <f>IF(D41=0,0,IF($D$17=0,0,IF(D39=0,0,SUM($D$16/$D$17,D26,-$D$22,D37/D39,-D42,-D43)*860/SUM($D$16,D41))))</f>
        <v>0</v>
      </c>
      <c r="E46" s="109">
        <f>IF(E41=0,0,IF($E$17=0,0,IF(COUNT($E$37:$H$37)=0,0,IF(E39=0,0,SUM(($E$16/$E$17-$E$22)/COUNT($E$37:$H$37),E37/E39,-E42,-E43)*860/SUM($E$16,E41)))))</f>
        <v>0</v>
      </c>
      <c r="F46" s="109">
        <f>IF(F41=0,0,IF($E$17=0,0,IF(COUNT($E$37:$H$37)=0,0,IF(F39=0,0,SUM(($E$16/$E$17-$E$22)/COUNT($E$37:$H$37),F37/F39,-F42,-F43)*860/SUM($E$16,F41)))))</f>
        <v>0</v>
      </c>
      <c r="G46" s="109">
        <f>IF(G41=0,0,IF($E$17=0,0,IF(COUNT($E$37:$H$37)=0,0,IF(G39=0,0,SUM(($E$16/$E$17-$E$22)/COUNT($E$37:$H$37),G37/G39,-G42,-G43)*860/SUM($E$16,G41)))))</f>
        <v>0</v>
      </c>
      <c r="H46" s="109">
        <f>IF(H41=0,0,IF($E$17=0,0,IF(COUNT($E$37:$H$37)=0,0,IF(H39=0,0,SUM(($E$16/$E$17-$E$22)/COUNT($E$37:$H$37),H37/H39,-H42,-H43)*860/SUM($E$16,H41)))))</f>
        <v>0</v>
      </c>
      <c r="L46" s="66"/>
    </row>
    <row r="47" spans="1:12">
      <c r="A47" s="104">
        <v>8</v>
      </c>
      <c r="B47" s="152" t="s">
        <v>388</v>
      </c>
      <c r="C47" s="104" t="s">
        <v>7</v>
      </c>
      <c r="D47" s="155">
        <f>IF(D37=0,0,IF(D39=0,0,SUM(D41:D43)/(D37/D39)))</f>
        <v>0</v>
      </c>
      <c r="E47" s="155">
        <f>IF(E37=0,0,IF(E39=0,0,SUM(E41:E43)/(E37/E39)))</f>
        <v>0</v>
      </c>
      <c r="F47" s="155">
        <f>IF(F37=0,0,IF(F39=0,0,SUM(F41:F43)/(F37/F39)))</f>
        <v>0</v>
      </c>
      <c r="G47" s="155">
        <f>IF(G37=0,0,IF(G39=0,0,SUM(G41:G43)/(G37/G39)))</f>
        <v>0</v>
      </c>
      <c r="H47" s="155">
        <f>IF(H37=0,0,IF(H39=0,0,SUM(H41:H43)/(H37/H39)))</f>
        <v>0</v>
      </c>
      <c r="L47" s="66"/>
    </row>
    <row r="48" spans="1:12"/>
    <row r="49" spans="1:12">
      <c r="B49" s="767" t="s">
        <v>596</v>
      </c>
      <c r="C49" s="767"/>
      <c r="D49" s="767"/>
      <c r="E49" s="767"/>
      <c r="F49" s="767"/>
      <c r="G49" s="767"/>
      <c r="H49" s="767"/>
      <c r="I49" s="767"/>
      <c r="J49" s="767"/>
      <c r="K49" s="767"/>
    </row>
    <row r="50" spans="1:12"/>
    <row r="51" spans="1:12">
      <c r="A51" s="150" t="s">
        <v>0</v>
      </c>
      <c r="B51" s="141" t="s">
        <v>461</v>
      </c>
      <c r="C51" s="483"/>
      <c r="D51" s="817" t="s">
        <v>662</v>
      </c>
      <c r="E51" s="817"/>
      <c r="F51" s="817"/>
      <c r="G51" s="817"/>
      <c r="H51" s="817"/>
      <c r="I51" s="817"/>
      <c r="J51" s="817"/>
      <c r="K51" s="817"/>
    </row>
    <row r="52" spans="1:12">
      <c r="A52" s="104">
        <v>3</v>
      </c>
      <c r="B52" s="484" t="s">
        <v>577</v>
      </c>
      <c r="C52" s="104" t="s">
        <v>161</v>
      </c>
      <c r="D52" s="412" t="s">
        <v>152</v>
      </c>
      <c r="E52" s="104" t="s">
        <v>578</v>
      </c>
      <c r="F52" s="104" t="s">
        <v>579</v>
      </c>
      <c r="G52" s="104" t="s">
        <v>580</v>
      </c>
      <c r="H52" s="104" t="s">
        <v>581</v>
      </c>
      <c r="I52" s="104" t="s">
        <v>582</v>
      </c>
      <c r="J52" s="104" t="s">
        <v>583</v>
      </c>
      <c r="K52" s="104" t="s">
        <v>597</v>
      </c>
    </row>
    <row r="53" spans="1:12">
      <c r="A53" s="104" t="s">
        <v>260</v>
      </c>
      <c r="B53" s="471" t="s">
        <v>584</v>
      </c>
      <c r="C53" s="104"/>
      <c r="D53" s="116"/>
      <c r="E53" s="485"/>
      <c r="F53" s="485"/>
      <c r="G53" s="485"/>
      <c r="H53" s="485"/>
      <c r="I53" s="485" t="s">
        <v>781</v>
      </c>
      <c r="J53" s="485" t="s">
        <v>781</v>
      </c>
      <c r="K53" s="485" t="s">
        <v>781</v>
      </c>
    </row>
    <row r="54" spans="1:12">
      <c r="A54" s="104" t="s">
        <v>261</v>
      </c>
      <c r="B54" s="471" t="s">
        <v>585</v>
      </c>
      <c r="C54" s="104" t="s">
        <v>162</v>
      </c>
      <c r="D54" s="347">
        <f>SUM(E54:K54)</f>
        <v>660</v>
      </c>
      <c r="E54" s="9"/>
      <c r="F54" s="9"/>
      <c r="G54" s="9"/>
      <c r="H54" s="9"/>
      <c r="I54" s="9">
        <v>220</v>
      </c>
      <c r="J54" s="9">
        <v>220</v>
      </c>
      <c r="K54" s="9">
        <v>220</v>
      </c>
    </row>
    <row r="55" spans="1:12">
      <c r="A55" s="104" t="s">
        <v>551</v>
      </c>
      <c r="B55" s="471" t="s">
        <v>586</v>
      </c>
      <c r="C55" s="104" t="s">
        <v>46</v>
      </c>
      <c r="D55" s="116"/>
      <c r="E55" s="9"/>
      <c r="F55" s="9"/>
      <c r="G55" s="9"/>
      <c r="H55" s="9"/>
      <c r="I55" s="9">
        <v>3478.8810239999998</v>
      </c>
      <c r="J55" s="9">
        <v>3478.8810239999998</v>
      </c>
      <c r="K55" s="9">
        <v>3478.8810239999998</v>
      </c>
    </row>
    <row r="56" spans="1:12">
      <c r="A56" s="104" t="s">
        <v>599</v>
      </c>
      <c r="B56" s="471" t="s">
        <v>587</v>
      </c>
      <c r="C56" s="104" t="s">
        <v>46</v>
      </c>
      <c r="D56" s="116"/>
      <c r="E56" s="9"/>
      <c r="F56" s="9"/>
      <c r="G56" s="9"/>
      <c r="H56" s="9"/>
      <c r="I56" s="9">
        <v>925.94495099999995</v>
      </c>
      <c r="J56" s="9">
        <v>925.94495099999995</v>
      </c>
      <c r="K56" s="9">
        <v>925.94495099999995</v>
      </c>
    </row>
    <row r="57" spans="1:12">
      <c r="A57" s="104" t="s">
        <v>552</v>
      </c>
      <c r="B57" s="471" t="s">
        <v>163</v>
      </c>
      <c r="C57" s="104" t="s">
        <v>164</v>
      </c>
      <c r="D57" s="347">
        <f>SUM(E57:K57)</f>
        <v>468.03899999999999</v>
      </c>
      <c r="E57" s="412">
        <f t="shared" ref="E57:J57" si="3">ROUND(E54*(E55-E56)/3600,3)</f>
        <v>0</v>
      </c>
      <c r="F57" s="412">
        <f t="shared" si="3"/>
        <v>0</v>
      </c>
      <c r="G57" s="412">
        <f t="shared" si="3"/>
        <v>0</v>
      </c>
      <c r="H57" s="412">
        <f t="shared" si="3"/>
        <v>0</v>
      </c>
      <c r="I57" s="412">
        <f t="shared" si="3"/>
        <v>156.01300000000001</v>
      </c>
      <c r="J57" s="412">
        <f t="shared" si="3"/>
        <v>156.01300000000001</v>
      </c>
      <c r="K57" s="412">
        <f>ROUND(K54*(K55-K56)/3600,3)</f>
        <v>156.01300000000001</v>
      </c>
    </row>
    <row r="58" spans="1:12">
      <c r="A58" s="104" t="s">
        <v>553</v>
      </c>
      <c r="B58" s="472" t="s">
        <v>313</v>
      </c>
      <c r="C58" s="104" t="s">
        <v>240</v>
      </c>
      <c r="D58" s="347">
        <f>SUM(E58:K58)</f>
        <v>0</v>
      </c>
      <c r="E58" s="64"/>
      <c r="F58" s="64"/>
      <c r="G58" s="64"/>
      <c r="H58" s="64"/>
      <c r="I58" s="64"/>
      <c r="J58" s="64"/>
      <c r="K58" s="64"/>
    </row>
    <row r="59" spans="1:12">
      <c r="A59" s="104" t="s">
        <v>554</v>
      </c>
      <c r="B59" s="152" t="s">
        <v>378</v>
      </c>
      <c r="C59" s="104" t="s">
        <v>7</v>
      </c>
      <c r="D59" s="154">
        <f>IF(D58=0,0,SUMPRODUCT(E59:K59,E58:K58)/D58)</f>
        <v>0</v>
      </c>
      <c r="E59" s="65"/>
      <c r="F59" s="65"/>
      <c r="G59" s="65"/>
      <c r="H59" s="65"/>
      <c r="I59" s="65"/>
      <c r="J59" s="65"/>
      <c r="K59" s="65"/>
    </row>
    <row r="60" spans="1:12">
      <c r="A60" s="104">
        <v>4</v>
      </c>
      <c r="B60" s="484" t="s">
        <v>588</v>
      </c>
      <c r="C60" s="104"/>
      <c r="D60" s="116"/>
      <c r="E60" s="104" t="s">
        <v>589</v>
      </c>
      <c r="F60" s="104" t="s">
        <v>590</v>
      </c>
      <c r="G60" s="104" t="s">
        <v>591</v>
      </c>
      <c r="H60" s="104" t="s">
        <v>592</v>
      </c>
      <c r="I60" s="104" t="s">
        <v>593</v>
      </c>
      <c r="J60" s="104" t="s">
        <v>594</v>
      </c>
      <c r="K60" s="104" t="s">
        <v>598</v>
      </c>
    </row>
    <row r="61" spans="1:12">
      <c r="A61" s="104" t="s">
        <v>251</v>
      </c>
      <c r="B61" s="471" t="s">
        <v>584</v>
      </c>
      <c r="C61" s="108"/>
      <c r="D61" s="116"/>
      <c r="E61" s="486"/>
      <c r="F61" s="487"/>
      <c r="G61" s="487"/>
      <c r="H61" s="487"/>
      <c r="I61" s="487" t="s">
        <v>782</v>
      </c>
      <c r="J61" s="487" t="s">
        <v>782</v>
      </c>
      <c r="K61" s="487"/>
    </row>
    <row r="62" spans="1:12">
      <c r="A62" s="104" t="s">
        <v>252</v>
      </c>
      <c r="B62" s="482" t="s">
        <v>450</v>
      </c>
      <c r="C62" s="470" t="s">
        <v>241</v>
      </c>
      <c r="D62" s="474">
        <f>SUM(E62:G62)</f>
        <v>0</v>
      </c>
      <c r="E62" s="475"/>
      <c r="F62" s="475"/>
      <c r="G62" s="475"/>
      <c r="H62" s="475"/>
      <c r="I62" s="475">
        <v>60</v>
      </c>
      <c r="J62" s="475">
        <v>60</v>
      </c>
      <c r="K62" s="475"/>
      <c r="L62" s="66"/>
    </row>
    <row r="63" spans="1:12">
      <c r="A63" s="104" t="s">
        <v>556</v>
      </c>
      <c r="B63" s="152" t="s">
        <v>452</v>
      </c>
      <c r="C63" s="470" t="s">
        <v>240</v>
      </c>
      <c r="D63" s="474">
        <f>SUM(E63:G63)</f>
        <v>0</v>
      </c>
      <c r="E63" s="478"/>
      <c r="F63" s="478"/>
      <c r="G63" s="478"/>
      <c r="H63" s="478"/>
      <c r="I63" s="478">
        <v>140.08335</v>
      </c>
      <c r="J63" s="478">
        <v>140.08335</v>
      </c>
      <c r="K63" s="478"/>
      <c r="L63" s="66"/>
    </row>
    <row r="64" spans="1:12">
      <c r="A64" s="104" t="s">
        <v>557</v>
      </c>
      <c r="B64" s="152" t="s">
        <v>453</v>
      </c>
      <c r="C64" s="470" t="s">
        <v>240</v>
      </c>
      <c r="D64" s="474">
        <f>SUM(E64:G64)</f>
        <v>0</v>
      </c>
      <c r="E64" s="478"/>
      <c r="F64" s="478"/>
      <c r="G64" s="478"/>
      <c r="H64" s="478"/>
      <c r="I64" s="478">
        <v>73.292259999999999</v>
      </c>
      <c r="J64" s="478">
        <v>73.292259999999999</v>
      </c>
      <c r="K64" s="478"/>
      <c r="L64" s="66"/>
    </row>
    <row r="65" spans="1:12">
      <c r="A65" s="104" t="s">
        <v>558</v>
      </c>
      <c r="B65" s="480" t="s">
        <v>455</v>
      </c>
      <c r="C65" s="104" t="s">
        <v>162</v>
      </c>
      <c r="D65" s="474">
        <f>SUM(E65:G65)</f>
        <v>0</v>
      </c>
      <c r="E65" s="478"/>
      <c r="F65" s="478"/>
      <c r="G65" s="478"/>
      <c r="H65" s="478"/>
      <c r="I65" s="478"/>
      <c r="J65" s="478"/>
      <c r="K65" s="478"/>
      <c r="L65" s="66"/>
    </row>
    <row r="66" spans="1:12">
      <c r="A66" s="104" t="s">
        <v>559</v>
      </c>
      <c r="B66" s="480" t="s">
        <v>454</v>
      </c>
      <c r="C66" s="104" t="s">
        <v>162</v>
      </c>
      <c r="D66" s="474">
        <f>SUM(E66:G66)</f>
        <v>0</v>
      </c>
      <c r="E66" s="478"/>
      <c r="F66" s="478"/>
      <c r="G66" s="478"/>
      <c r="H66" s="478"/>
      <c r="I66" s="478"/>
      <c r="J66" s="478"/>
      <c r="K66" s="478"/>
      <c r="L66" s="66"/>
    </row>
    <row r="67" spans="1:12" ht="14.25">
      <c r="A67" s="104" t="s">
        <v>560</v>
      </c>
      <c r="B67" s="471" t="s">
        <v>666</v>
      </c>
      <c r="C67" s="104" t="s">
        <v>595</v>
      </c>
      <c r="D67" s="116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04">
        <v>5</v>
      </c>
      <c r="B68" s="152" t="s">
        <v>388</v>
      </c>
      <c r="C68" s="104" t="s">
        <v>7</v>
      </c>
      <c r="D68" s="155">
        <f>IF(D59=0,0,IF(D58=0,0,SUM(D62:D64)/(D58/D59)))</f>
        <v>0</v>
      </c>
      <c r="E68" s="155">
        <f t="shared" ref="E68:K68" si="4">IF(E59=0,0,IF(E58=0,0,SUM(E62:E64)/(E58/E59)))</f>
        <v>0</v>
      </c>
      <c r="F68" s="155">
        <f t="shared" si="4"/>
        <v>0</v>
      </c>
      <c r="G68" s="155">
        <f t="shared" si="4"/>
        <v>0</v>
      </c>
      <c r="H68" s="155">
        <f t="shared" si="4"/>
        <v>0</v>
      </c>
      <c r="I68" s="155">
        <f t="shared" si="4"/>
        <v>0</v>
      </c>
      <c r="J68" s="155">
        <f t="shared" si="4"/>
        <v>0</v>
      </c>
      <c r="K68" s="155">
        <f t="shared" si="4"/>
        <v>0</v>
      </c>
      <c r="L68" s="66"/>
    </row>
    <row r="69" spans="1:12"/>
    <row r="70" spans="1:12">
      <c r="B70" s="488"/>
      <c r="K70" s="489"/>
    </row>
    <row r="71" spans="1:12">
      <c r="B71" s="488"/>
      <c r="F71" s="490"/>
      <c r="G71" s="491"/>
      <c r="H71" s="492"/>
      <c r="I71" s="493"/>
      <c r="J71" s="494"/>
      <c r="K71" s="493"/>
    </row>
    <row r="72" spans="1:12" customFormat="1">
      <c r="B72" s="488"/>
      <c r="K72" s="500"/>
    </row>
    <row r="73" spans="1:12">
      <c r="B73" s="488"/>
      <c r="F73" s="490"/>
      <c r="G73" s="362"/>
      <c r="J73" s="494"/>
      <c r="K73" s="489"/>
    </row>
    <row r="74" spans="1:12">
      <c r="B74" s="495"/>
      <c r="K74" s="498"/>
    </row>
    <row r="75" spans="1:12">
      <c r="B75" s="495"/>
      <c r="K75" s="498"/>
    </row>
    <row r="76" spans="1:12">
      <c r="B76" s="495"/>
      <c r="K76" s="498"/>
    </row>
    <row r="77" spans="1:12"/>
    <row r="78" spans="1:12" ht="15.75">
      <c r="A78" s="233" t="s">
        <v>779</v>
      </c>
      <c r="B78" s="417"/>
      <c r="G78" s="496" t="s">
        <v>253</v>
      </c>
      <c r="I78" s="199"/>
      <c r="J78" s="199"/>
    </row>
    <row r="79" spans="1:12">
      <c r="A79" s="103"/>
      <c r="B79" s="689" t="s">
        <v>780</v>
      </c>
      <c r="C79" s="497"/>
      <c r="G79" s="199"/>
      <c r="H79" s="199" t="str">
        <f>Разходи!$F$93</f>
        <v xml:space="preserve"> /С.Желев/</v>
      </c>
      <c r="I79" s="199"/>
      <c r="J79" s="199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8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6" sqref="A6:C6"/>
    </sheetView>
  </sheetViews>
  <sheetFormatPr defaultColWidth="0" defaultRowHeight="12.75" customHeight="1" zeroHeight="1"/>
  <cols>
    <col min="1" max="1" width="3.5703125" style="100" customWidth="1"/>
    <col min="2" max="2" width="28.5703125" style="100" customWidth="1"/>
    <col min="3" max="3" width="7.85546875" style="100" customWidth="1"/>
    <col min="4" max="10" width="9.5703125" style="100" customWidth="1"/>
    <col min="11" max="12" width="8.5703125" style="100" customWidth="1"/>
    <col min="13" max="13" width="8.85546875" style="100" customWidth="1"/>
    <col min="14" max="16384" width="8.85546875" style="100" hidden="1"/>
  </cols>
  <sheetData>
    <row r="1" spans="1:12" ht="12.75" customHeight="1">
      <c r="A1" s="99">
        <v>2</v>
      </c>
      <c r="B1" s="835" t="s">
        <v>695</v>
      </c>
      <c r="C1" s="835"/>
      <c r="D1" s="835"/>
      <c r="E1" s="835"/>
      <c r="F1" s="835"/>
      <c r="G1" s="835"/>
      <c r="H1" s="835"/>
      <c r="I1" s="835"/>
      <c r="J1" s="835"/>
      <c r="K1" s="101"/>
      <c r="L1" s="130" t="s">
        <v>696</v>
      </c>
    </row>
    <row r="2" spans="1:12" ht="12.75" customHeight="1">
      <c r="B2" s="835" t="str">
        <f>'ТИП-ПРОИЗ'!B3</f>
        <v>"Топлофикация-Русе" ЕАД</v>
      </c>
      <c r="C2" s="835"/>
      <c r="D2" s="835"/>
      <c r="E2" s="835"/>
      <c r="F2" s="835"/>
      <c r="G2" s="835"/>
      <c r="H2" s="835"/>
      <c r="I2" s="835"/>
      <c r="J2" s="835"/>
      <c r="K2" s="101"/>
      <c r="L2" s="101"/>
    </row>
    <row r="3" spans="1:12" ht="12.75" customHeight="1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2" ht="12.75" customHeight="1">
      <c r="B4" s="768" t="s">
        <v>565</v>
      </c>
      <c r="C4" s="768"/>
      <c r="D4" s="768"/>
      <c r="E4" s="768"/>
      <c r="F4" s="768"/>
      <c r="G4" s="768"/>
      <c r="H4" s="768"/>
      <c r="I4" s="768"/>
      <c r="J4" s="768"/>
      <c r="K4" s="101"/>
      <c r="L4" s="101"/>
    </row>
    <row r="5" spans="1:12"/>
    <row r="6" spans="1:12">
      <c r="A6" s="836">
        <f>'ТИП-ПРОИЗ'!$B$5</f>
        <v>7.202</v>
      </c>
      <c r="B6" s="836"/>
      <c r="C6" s="836"/>
      <c r="D6" s="834" t="s">
        <v>382</v>
      </c>
      <c r="E6" s="834"/>
      <c r="F6" s="834"/>
      <c r="G6" s="834"/>
      <c r="H6" s="834"/>
      <c r="I6" s="834"/>
      <c r="J6" s="834"/>
      <c r="K6" s="834"/>
      <c r="L6" s="834"/>
    </row>
    <row r="7" spans="1:12">
      <c r="A7" s="139">
        <v>1</v>
      </c>
      <c r="B7" s="140" t="s">
        <v>254</v>
      </c>
      <c r="C7" s="141" t="s">
        <v>380</v>
      </c>
      <c r="D7" s="99" t="s">
        <v>152</v>
      </c>
      <c r="E7" s="139" t="s">
        <v>165</v>
      </c>
      <c r="F7" s="139" t="s">
        <v>166</v>
      </c>
      <c r="G7" s="139" t="s">
        <v>167</v>
      </c>
      <c r="H7" s="139" t="s">
        <v>209</v>
      </c>
      <c r="I7" s="139" t="s">
        <v>210</v>
      </c>
      <c r="J7" s="139" t="s">
        <v>211</v>
      </c>
      <c r="K7" s="139" t="s">
        <v>381</v>
      </c>
      <c r="L7" s="139" t="s">
        <v>575</v>
      </c>
    </row>
    <row r="8" spans="1:12">
      <c r="A8" s="142" t="s">
        <v>255</v>
      </c>
      <c r="B8" s="143">
        <f>'ТИП-ПРОИЗ'!E6</f>
        <v>2019.0000000000018</v>
      </c>
      <c r="C8" s="142" t="s">
        <v>379</v>
      </c>
      <c r="D8" s="144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2" t="s">
        <v>256</v>
      </c>
      <c r="B9" s="145" t="s">
        <v>313</v>
      </c>
      <c r="C9" s="142" t="s">
        <v>240</v>
      </c>
      <c r="D9" s="144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2" t="s">
        <v>257</v>
      </c>
      <c r="B10" s="146" t="s">
        <v>378</v>
      </c>
      <c r="C10" s="142" t="s">
        <v>7</v>
      </c>
      <c r="D10" s="147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3">
        <f>'ТИП-ПРОИЗ'!E6</f>
        <v>2019.0000000000018</v>
      </c>
      <c r="B12" s="833"/>
      <c r="C12" s="833"/>
      <c r="D12" s="834" t="s">
        <v>685</v>
      </c>
      <c r="E12" s="834"/>
      <c r="F12" s="834"/>
      <c r="G12" s="834"/>
      <c r="H12" s="834"/>
      <c r="I12" s="834"/>
      <c r="J12" s="834"/>
      <c r="K12" s="834"/>
      <c r="L12" s="834"/>
    </row>
    <row r="13" spans="1:12">
      <c r="A13" s="139">
        <v>1</v>
      </c>
      <c r="B13" s="140" t="s">
        <v>254</v>
      </c>
      <c r="C13" s="141" t="s">
        <v>380</v>
      </c>
      <c r="D13" s="99" t="s">
        <v>152</v>
      </c>
      <c r="E13" s="139" t="s">
        <v>165</v>
      </c>
      <c r="F13" s="139" t="s">
        <v>166</v>
      </c>
      <c r="G13" s="139" t="s">
        <v>167</v>
      </c>
      <c r="H13" s="139" t="s">
        <v>209</v>
      </c>
      <c r="I13" s="139" t="s">
        <v>210</v>
      </c>
      <c r="J13" s="139" t="s">
        <v>211</v>
      </c>
      <c r="K13" s="139" t="s">
        <v>381</v>
      </c>
      <c r="L13" s="139" t="s">
        <v>575</v>
      </c>
    </row>
    <row r="14" spans="1:12">
      <c r="A14" s="142" t="s">
        <v>255</v>
      </c>
      <c r="B14" s="145" t="s">
        <v>686</v>
      </c>
      <c r="C14" s="142" t="s">
        <v>687</v>
      </c>
      <c r="D14" s="506"/>
      <c r="E14" s="43"/>
      <c r="F14" s="43"/>
      <c r="G14" s="43"/>
      <c r="H14" s="43"/>
      <c r="I14" s="43"/>
      <c r="J14" s="43"/>
      <c r="K14" s="43"/>
      <c r="L14" s="43"/>
    </row>
    <row r="15" spans="1:12">
      <c r="A15" s="142" t="s">
        <v>256</v>
      </c>
      <c r="B15" s="145" t="s">
        <v>688</v>
      </c>
      <c r="C15" s="142" t="s">
        <v>70</v>
      </c>
      <c r="D15" s="144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2" t="s">
        <v>257</v>
      </c>
      <c r="B16" s="146" t="s">
        <v>243</v>
      </c>
      <c r="C16" s="142" t="s">
        <v>7</v>
      </c>
      <c r="D16" s="147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5" t="s">
        <v>566</v>
      </c>
      <c r="C18" s="835"/>
      <c r="D18" s="835"/>
      <c r="E18" s="835"/>
      <c r="F18" s="835"/>
      <c r="G18" s="835"/>
      <c r="H18" s="835"/>
      <c r="I18" s="835"/>
      <c r="J18" s="835"/>
      <c r="K18" s="508"/>
      <c r="L18" s="508"/>
    </row>
    <row r="19" spans="1:12"/>
    <row r="20" spans="1:12">
      <c r="A20" s="836">
        <f>'ТИП-ПРОИЗ'!$B$5</f>
        <v>7.202</v>
      </c>
      <c r="B20" s="836"/>
      <c r="C20" s="836"/>
      <c r="D20" s="834" t="s">
        <v>561</v>
      </c>
      <c r="E20" s="834"/>
      <c r="F20" s="834"/>
      <c r="G20" s="834"/>
      <c r="H20" s="834"/>
      <c r="I20" s="834"/>
      <c r="J20" s="834"/>
      <c r="K20" s="834"/>
      <c r="L20" s="834"/>
    </row>
    <row r="21" spans="1:12">
      <c r="A21" s="139">
        <v>2</v>
      </c>
      <c r="B21" s="140" t="s">
        <v>574</v>
      </c>
      <c r="C21" s="141" t="s">
        <v>380</v>
      </c>
      <c r="D21" s="99" t="s">
        <v>152</v>
      </c>
      <c r="E21" s="139" t="s">
        <v>567</v>
      </c>
      <c r="F21" s="139" t="s">
        <v>568</v>
      </c>
      <c r="G21" s="139" t="s">
        <v>569</v>
      </c>
      <c r="H21" s="139" t="s">
        <v>570</v>
      </c>
      <c r="I21" s="139" t="s">
        <v>571</v>
      </c>
      <c r="J21" s="139" t="s">
        <v>572</v>
      </c>
      <c r="K21" s="139" t="s">
        <v>573</v>
      </c>
      <c r="L21" s="139" t="s">
        <v>576</v>
      </c>
    </row>
    <row r="22" spans="1:12">
      <c r="A22" s="142" t="s">
        <v>271</v>
      </c>
      <c r="B22" s="143">
        <f>B8</f>
        <v>2019.0000000000018</v>
      </c>
      <c r="C22" s="142" t="s">
        <v>379</v>
      </c>
      <c r="D22" s="144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2" t="s">
        <v>272</v>
      </c>
      <c r="B23" s="148" t="s">
        <v>562</v>
      </c>
      <c r="C23" s="142" t="s">
        <v>162</v>
      </c>
      <c r="D23" s="144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2" t="s">
        <v>275</v>
      </c>
      <c r="B24" s="148" t="s">
        <v>563</v>
      </c>
      <c r="C24" s="142" t="s">
        <v>564</v>
      </c>
      <c r="D24" s="144"/>
      <c r="E24" s="55"/>
      <c r="F24" s="55"/>
      <c r="G24" s="55"/>
      <c r="H24" s="55"/>
      <c r="I24" s="55"/>
      <c r="J24" s="55"/>
      <c r="K24" s="55"/>
      <c r="L24" s="55"/>
    </row>
    <row r="25" spans="1:12">
      <c r="A25" s="142" t="s">
        <v>273</v>
      </c>
      <c r="B25" s="145" t="s">
        <v>313</v>
      </c>
      <c r="C25" s="142" t="s">
        <v>240</v>
      </c>
      <c r="D25" s="144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2" t="s">
        <v>274</v>
      </c>
      <c r="B26" s="146" t="s">
        <v>378</v>
      </c>
      <c r="C26" s="142" t="s">
        <v>7</v>
      </c>
      <c r="D26" s="147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3">
        <f>A12</f>
        <v>2019.0000000000018</v>
      </c>
      <c r="B28" s="833"/>
      <c r="C28" s="833"/>
      <c r="D28" s="834" t="s">
        <v>689</v>
      </c>
      <c r="E28" s="834"/>
      <c r="F28" s="834"/>
      <c r="G28" s="834"/>
      <c r="H28" s="834"/>
      <c r="I28" s="834"/>
      <c r="J28" s="834"/>
      <c r="K28" s="834"/>
      <c r="L28" s="834"/>
    </row>
    <row r="29" spans="1:12">
      <c r="A29" s="139">
        <v>2</v>
      </c>
      <c r="B29" s="140" t="s">
        <v>574</v>
      </c>
      <c r="C29" s="141" t="s">
        <v>380</v>
      </c>
      <c r="D29" s="99" t="s">
        <v>152</v>
      </c>
      <c r="E29" s="139" t="s">
        <v>567</v>
      </c>
      <c r="F29" s="139" t="s">
        <v>568</v>
      </c>
      <c r="G29" s="139" t="s">
        <v>569</v>
      </c>
      <c r="H29" s="139" t="s">
        <v>570</v>
      </c>
      <c r="I29" s="139" t="s">
        <v>571</v>
      </c>
      <c r="J29" s="139" t="s">
        <v>572</v>
      </c>
      <c r="K29" s="139" t="s">
        <v>573</v>
      </c>
      <c r="L29" s="139" t="s">
        <v>576</v>
      </c>
    </row>
    <row r="30" spans="1:12">
      <c r="A30" s="142" t="s">
        <v>271</v>
      </c>
      <c r="B30" s="145" t="s">
        <v>686</v>
      </c>
      <c r="C30" s="142" t="s">
        <v>687</v>
      </c>
      <c r="D30" s="506"/>
      <c r="E30" s="43"/>
      <c r="F30" s="43"/>
      <c r="G30" s="43"/>
      <c r="H30" s="43"/>
      <c r="I30" s="43"/>
      <c r="J30" s="43"/>
      <c r="K30" s="43"/>
      <c r="L30" s="43"/>
    </row>
    <row r="31" spans="1:12">
      <c r="A31" s="142" t="s">
        <v>272</v>
      </c>
      <c r="B31" s="148" t="s">
        <v>692</v>
      </c>
      <c r="C31" s="142" t="s">
        <v>23</v>
      </c>
      <c r="D31" s="144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2" t="s">
        <v>275</v>
      </c>
      <c r="B32" s="148" t="s">
        <v>693</v>
      </c>
      <c r="C32" s="142" t="s">
        <v>162</v>
      </c>
      <c r="D32" s="144">
        <f>IF(D30=0,0,D31/D30)</f>
        <v>0</v>
      </c>
      <c r="E32" s="144">
        <f t="shared" ref="E32:L32" si="0">IF(E30=0,0,E31/E30)</f>
        <v>0</v>
      </c>
      <c r="F32" s="144">
        <f t="shared" si="0"/>
        <v>0</v>
      </c>
      <c r="G32" s="144">
        <f t="shared" si="0"/>
        <v>0</v>
      </c>
      <c r="H32" s="144">
        <f t="shared" si="0"/>
        <v>0</v>
      </c>
      <c r="I32" s="144">
        <f t="shared" si="0"/>
        <v>0</v>
      </c>
      <c r="J32" s="144">
        <f t="shared" si="0"/>
        <v>0</v>
      </c>
      <c r="K32" s="144">
        <f t="shared" si="0"/>
        <v>0</v>
      </c>
      <c r="L32" s="144">
        <f t="shared" si="0"/>
        <v>0</v>
      </c>
    </row>
    <row r="33" spans="1:12">
      <c r="A33" s="142" t="s">
        <v>273</v>
      </c>
      <c r="B33" s="148" t="s">
        <v>691</v>
      </c>
      <c r="C33" s="142" t="s">
        <v>564</v>
      </c>
      <c r="D33" s="144"/>
      <c r="E33" s="55"/>
      <c r="F33" s="55"/>
      <c r="G33" s="55"/>
      <c r="H33" s="55"/>
      <c r="I33" s="55"/>
      <c r="J33" s="55"/>
      <c r="K33" s="55"/>
      <c r="L33" s="55"/>
    </row>
    <row r="34" spans="1:12">
      <c r="A34" s="142" t="s">
        <v>274</v>
      </c>
      <c r="B34" s="145" t="s">
        <v>688</v>
      </c>
      <c r="C34" s="142" t="s">
        <v>70</v>
      </c>
      <c r="D34" s="144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2" t="s">
        <v>690</v>
      </c>
      <c r="B35" s="146" t="s">
        <v>243</v>
      </c>
      <c r="C35" s="142" t="s">
        <v>7</v>
      </c>
      <c r="D35" s="147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6" t="s">
        <v>694</v>
      </c>
      <c r="C37" s="142" t="s">
        <v>7</v>
      </c>
      <c r="D37" s="147">
        <f>IF(SUM(D15,D34)=0,0,SUM(D15*D16,D34*D35)/SUM(D15,D34))</f>
        <v>0</v>
      </c>
      <c r="E37" s="507">
        <f>SUM(D37,-F37)</f>
        <v>0</v>
      </c>
      <c r="F37" s="499">
        <f>'ТИП-ПРОИЗ'!E57</f>
        <v>0</v>
      </c>
    </row>
    <row r="38" spans="1:12"/>
    <row r="39" spans="1:12"/>
    <row r="40" spans="1:12" ht="15.75">
      <c r="A40" s="233" t="s">
        <v>779</v>
      </c>
      <c r="B40" s="417"/>
      <c r="G40" s="131" t="s">
        <v>253</v>
      </c>
      <c r="I40" s="132"/>
      <c r="J40" s="132"/>
    </row>
    <row r="41" spans="1:12">
      <c r="A41" s="103"/>
      <c r="B41" s="689" t="s">
        <v>780</v>
      </c>
      <c r="C41" s="133"/>
      <c r="G41" s="132"/>
      <c r="H41" s="134" t="str">
        <f>Разходи!$F$93</f>
        <v xml:space="preserve"> /С.Желев/</v>
      </c>
      <c r="I41" s="134"/>
      <c r="J41" s="134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georgievavn</cp:lastModifiedBy>
  <cp:lastPrinted>2020-03-27T07:08:08Z</cp:lastPrinted>
  <dcterms:created xsi:type="dcterms:W3CDTF">2002-07-02T13:08:08Z</dcterms:created>
  <dcterms:modified xsi:type="dcterms:W3CDTF">2020-03-30T10:48:46Z</dcterms:modified>
</cp:coreProperties>
</file>